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<sst xmlns="http://schemas.openxmlformats.org/spreadsheetml/2006/main" count="166" uniqueCount="109">
  <si>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</si>
  <si>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</si>
  <si>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</si>
  <si>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Perú (PEN)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</si>
  <si>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</si>
  <si>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</si>
  <si>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</si>
  <si>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</si>
  <si>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</si>
  <si>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</si>
  <si>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</si>
  <si>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</si>
  <si>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</si>
  <si>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</si>
  <si>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</si>
  <si>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</si>
  <si>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</si>
  <si>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</si>
  <si>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</si>
  <si>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</si>
  <si>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</si>
  <si>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</si>
  <si>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</si>
  <si>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</si>
  <si>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</si>
  <si>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</si>
  <si>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</si>
  <si>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</si>
  <si>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</si>
  <si>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</si>
  <si>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</si>
  <si>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</si>
  <si>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</si>
  <si>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</si>
  <si>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</si>
  <si>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</si>
  <si>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</si>
  <si>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</si>
  <si>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</si>
  <si>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</si>
  <si>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</si>
  <si>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</si>
  <si>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</si>
  <si>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</si>
  <si>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</si>
  <si>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</si>
  <si>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</si>
  <si>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</si>
  <si>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</si>
  <si>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</si>
  <si>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</si>
  <si>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</si>
  <si>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</si>
  <si>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</si>
  <si>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</si>
  <si>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</si>
  <si>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</si>
  <si>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</si>
  <si>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</si>
  <si>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</si>
  <si>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</si>
  <si>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</si>
  <si>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</si>
  <si>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</si>
  <si>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</si>
  <si>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Colombia (COP)</t>
  </si>
  <si>
    <t xml:space="preserve">México (MXN)</t>
  </si>
  <si>
    <t xml:space="preserve">Guatemala (GTQ)</t>
  </si>
  <si>
    <t xml:space="preserve">Ecuador / El Salvador (USD)</t>
  </si>
  <si>
    <t xml:space="preserve">Costa Rica (CRC)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</si>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</sst>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PEN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(PEN)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10" t="n">
        <f aca="false">SUM(K12:K211)</f>
        <v>903.2</v>
      </c>
      <c r="H8" s="10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1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customFormat="false" ht="4.5" hidden="false" customHeight="true" outlineLevel="0" collapsed="false"/>
    <row r="11" customFormat="false" ht="27.75" hidden="false" customHeight="true" outlineLevel="0" collapsed="false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tr">
        <f aca="false">"Costo unitario ("&amp;$G$5&amp;")"</f>
        <v>Costo unitario (PEN)</v>
      </c>
      <c r="K11" s="12" t="str">
        <f aca="false">"Valor total ("&amp;$G$5&amp;")"</f>
        <v>Valor total (PEN)</v>
      </c>
    </row>
    <row r="12" customFormat="false" ht="15" hidden="false" customHeight="false" outlineLevel="0" collapsed="false">
      <c r="A12" s="13" t="s">
        <v>18</v>
      </c>
      <c r="B12" s="13" t="s">
        <v>19</v>
      </c>
      <c r="C12" s="13" t="s">
        <v>20</v>
      </c>
      <c r="D12" s="14" t="n">
        <v>40</v>
      </c>
      <c r="E12" s="15" t="n">
        <f aca="false">IF($B12="","",SUMIFS(Movimientos!$F$4:$F$303,Movimientos!$B$4:$B$303,$A12,Movimientos!$F$4:$F$303,"&gt;0"))</f>
        <v>60</v>
      </c>
      <c r="F12" s="15" t="n">
        <f aca="false">IF($B12="","",-SUMIFS(Movimientos!$F$4:$F$303,Movimientos!$B$4:$B$303,$A12,Movimientos!$F$4:$F$303,"&lt;0"))</f>
        <v>35</v>
      </c>
      <c r="G12" s="15" t="n">
        <f aca="false">IF($B12="","",N(D12)+E12-F12)</f>
        <v>65</v>
      </c>
      <c r="H12" s="14" t="n">
        <v>20</v>
      </c>
      <c r="I12" s="16" t="str">
        <f aca="false">IF($B12="","",IF(G12&lt;=N(H12),"REPONER","OK"))</f>
        <v>OK</v>
      </c>
      <c r="J12" s="17" t="n">
        <v>2.8</v>
      </c>
      <c r="K12" s="18" t="n">
        <f aca="false">IF(OR($B12="",$J12=""),"",G12*N(J12))</f>
        <v>182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3" t="s">
        <v>21</v>
      </c>
      <c r="B13" s="13" t="s">
        <v>22</v>
      </c>
      <c r="C13" s="13" t="s">
        <v>20</v>
      </c>
      <c r="D13" s="14" t="n">
        <v>30</v>
      </c>
      <c r="E13" s="15" t="n">
        <f aca="false">IF($B13="","",SUMIFS(Movimientos!$F$4:$F$303,Movimientos!$B$4:$B$303,$A13,Movimientos!$F$4:$F$303,"&gt;0"))</f>
        <v>0</v>
      </c>
      <c r="F13" s="15" t="n">
        <f aca="false">IF($B13="","",-SUMIFS(Movimientos!$F$4:$F$303,Movimientos!$B$4:$B$303,$A13,Movimientos!$F$4:$F$303,"&lt;0"))</f>
        <v>18</v>
      </c>
      <c r="G13" s="15" t="n">
        <f aca="false">IF($B13="","",N(D13)+E13-F13)</f>
        <v>12</v>
      </c>
      <c r="H13" s="14" t="n">
        <v>15</v>
      </c>
      <c r="I13" s="16" t="str">
        <f aca="false">IF($B13="","",IF(G13&lt;=N(H13),"REPONER","OK"))</f>
        <v>REPONER</v>
      </c>
      <c r="J13" s="17" t="n">
        <v>9</v>
      </c>
      <c r="K13" s="18" t="n">
        <f aca="false">IF(OR($B13="",$J13=""),"",G13*N(J13))</f>
        <v>108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3" t="s">
        <v>23</v>
      </c>
      <c r="B14" s="13" t="s">
        <v>24</v>
      </c>
      <c r="C14" s="13" t="s">
        <v>20</v>
      </c>
      <c r="D14" s="14" t="n">
        <v>25</v>
      </c>
      <c r="E14" s="15" t="n">
        <f aca="false">IF($B14="","",SUMIFS(Movimientos!$F$4:$F$303,Movimientos!$B$4:$B$303,$A14,Movimientos!$F$4:$F$303,"&gt;0"))</f>
        <v>20</v>
      </c>
      <c r="F14" s="15" t="n">
        <f aca="false">IF($B14="","",-SUMIFS(Movimientos!$F$4:$F$303,Movimientos!$B$4:$B$303,$A14,Movimientos!$F$4:$F$303,"&lt;0"))</f>
        <v>15</v>
      </c>
      <c r="G14" s="15" t="n">
        <f aca="false">IF($B14="","",N(D14)+E14-F14)</f>
        <v>30</v>
      </c>
      <c r="H14" s="14" t="n">
        <v>10</v>
      </c>
      <c r="I14" s="16" t="str">
        <f aca="false">IF($B14="","",IF(G14&lt;=N(H14),"REPONER","OK"))</f>
        <v>OK</v>
      </c>
      <c r="J14" s="17" t="n">
        <v>4</v>
      </c>
      <c r="K14" s="18" t="n">
        <f aca="false">IF(OR($B14="",$J14=""),"",G14*N(J14))</f>
        <v>120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3" t="s">
        <v>25</v>
      </c>
      <c r="B15" s="13" t="s">
        <v>26</v>
      </c>
      <c r="C15" s="13" t="s">
        <v>27</v>
      </c>
      <c r="D15" s="14" t="n">
        <v>50</v>
      </c>
      <c r="E15" s="15" t="n">
        <f aca="false">IF($B15="","",SUMIFS(Movimientos!$F$4:$F$303,Movimientos!$B$4:$B$303,$A15,Movimientos!$F$4:$F$303,"&gt;0"))</f>
        <v>30</v>
      </c>
      <c r="F15" s="15" t="n">
        <f aca="false">IF($B15="","",-SUMIFS(Movimientos!$F$4:$F$303,Movimientos!$B$4:$B$303,$A15,Movimientos!$F$4:$F$303,"&lt;0"))</f>
        <v>62</v>
      </c>
      <c r="G15" s="15" t="n">
        <f aca="false">IF($B15="","",N(D15)+E15-F15)</f>
        <v>18</v>
      </c>
      <c r="H15" s="14" t="n">
        <v>24</v>
      </c>
      <c r="I15" s="16" t="str">
        <f aca="false">IF($B15="","",IF(G15&lt;=N(H15),"REPONER","OK"))</f>
        <v>REPONER</v>
      </c>
      <c r="J15" s="17" t="n">
        <v>3.5</v>
      </c>
      <c r="K15" s="18" t="n">
        <f aca="false">IF(OR($B15="",$J15=""),"",G15*N(J15))</f>
        <v>63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3" t="s">
        <v>28</v>
      </c>
      <c r="B16" s="13" t="s">
        <v>29</v>
      </c>
      <c r="C16" s="13" t="s">
        <v>30</v>
      </c>
      <c r="D16" s="14" t="n">
        <v>36</v>
      </c>
      <c r="E16" s="15" t="n">
        <f aca="false">IF($B16="","",SUMIFS(Movimientos!$F$4:$F$303,Movimientos!$B$4:$B$303,$A16,Movimientos!$F$4:$F$303,"&gt;0"))</f>
        <v>24</v>
      </c>
      <c r="F16" s="15" t="n">
        <f aca="false">IF($B16="","",-SUMIFS(Movimientos!$F$4:$F$303,Movimientos!$B$4:$B$303,$A16,Movimientos!$F$4:$F$303,"&lt;0"))</f>
        <v>30</v>
      </c>
      <c r="G16" s="15" t="n">
        <f aca="false">IF($B16="","",N(D16)+E16-F16)</f>
        <v>30</v>
      </c>
      <c r="H16" s="14" t="n">
        <v>12</v>
      </c>
      <c r="I16" s="16" t="str">
        <f aca="false">IF($B16="","",IF(G16&lt;=N(H16),"REPONER","OK"))</f>
        <v>OK</v>
      </c>
      <c r="J16" s="17" t="n">
        <v>5.2</v>
      </c>
      <c r="K16" s="18" t="n">
        <f aca="false">IF(OR($B16="",$J16=""),"",G16*N(J16))</f>
        <v>156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3" t="s">
        <v>31</v>
      </c>
      <c r="B17" s="13" t="s">
        <v>32</v>
      </c>
      <c r="C17" s="13" t="s">
        <v>33</v>
      </c>
      <c r="D17" s="14" t="n">
        <v>40</v>
      </c>
      <c r="E17" s="15" t="n">
        <f aca="false">IF($B17="","",SUMIFS(Movimientos!$F$4:$F$303,Movimientos!$B$4:$B$303,$A17,Movimientos!$F$4:$F$303,"&gt;0"))</f>
        <v>0</v>
      </c>
      <c r="F17" s="15" t="n">
        <f aca="false">IF($B17="","",-SUMIFS(Movimientos!$F$4:$F$303,Movimientos!$B$4:$B$303,$A17,Movimientos!$F$4:$F$303,"&lt;0"))</f>
        <v>12</v>
      </c>
      <c r="G17" s="15" t="n">
        <f aca="false">IF($B17="","",N(D17)+E17-F17)</f>
        <v>28</v>
      </c>
      <c r="H17" s="14" t="n">
        <v>10</v>
      </c>
      <c r="I17" s="16" t="str">
        <f aca="false">IF($B17="","",IF(G17&lt;=N(H17),"REPONER","OK"))</f>
        <v>OK</v>
      </c>
      <c r="J17" s="17" t="n">
        <v>2.4</v>
      </c>
      <c r="K17" s="18" t="n">
        <f aca="false">IF(OR($B17="",$J17=""),"",G17*N(J17))</f>
        <v>67.2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3" t="s">
        <v>34</v>
      </c>
      <c r="B18" s="13" t="s">
        <v>35</v>
      </c>
      <c r="C18" s="13" t="s">
        <v>33</v>
      </c>
      <c r="D18" s="14" t="n">
        <v>20</v>
      </c>
      <c r="E18" s="15" t="n">
        <f aca="false">IF($B18="","",SUMIFS(Movimientos!$F$4:$F$303,Movimientos!$B$4:$B$303,$A18,Movimientos!$F$4:$F$303,"&gt;0"))</f>
        <v>12</v>
      </c>
      <c r="F18" s="15" t="n">
        <f aca="false">IF($B18="","",-SUMIFS(Movimientos!$F$4:$F$303,Movimientos!$B$4:$B$303,$A18,Movimientos!$F$4:$F$303,"&lt;0"))</f>
        <v>26</v>
      </c>
      <c r="G18" s="15" t="n">
        <f aca="false">IF($B18="","",N(D18)+E18-F18)</f>
        <v>6</v>
      </c>
      <c r="H18" s="14" t="n">
        <v>8</v>
      </c>
      <c r="I18" s="16" t="str">
        <f aca="false">IF($B18="","",IF(G18&lt;=N(H18),"REPONER","OK"))</f>
        <v>REPONER</v>
      </c>
      <c r="J18" s="17" t="n">
        <v>7.8</v>
      </c>
      <c r="K18" s="18" t="n">
        <f aca="false">IF(OR($B18="",$J18=""),"",G18*N(J18))</f>
        <v>46.8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3" t="s">
        <v>36</v>
      </c>
      <c r="B19" s="13" t="s">
        <v>37</v>
      </c>
      <c r="C19" s="13" t="s">
        <v>20</v>
      </c>
      <c r="D19" s="14" t="n">
        <v>15</v>
      </c>
      <c r="E19" s="15" t="n">
        <f aca="false">IF($B19="","",SUMIFS(Movimientos!$F$4:$F$303,Movimientos!$B$4:$B$303,$A19,Movimientos!$F$4:$F$303,"&gt;0"))</f>
        <v>10</v>
      </c>
      <c r="F19" s="15" t="n">
        <f aca="false">IF($B19="","",-SUMIFS(Movimientos!$F$4:$F$303,Movimientos!$B$4:$B$303,$A19,Movimientos!$F$4:$F$303,"&lt;0"))</f>
        <v>7</v>
      </c>
      <c r="G19" s="15" t="n">
        <f aca="false">IF($B19="","",N(D19)+E19-F19)</f>
        <v>18</v>
      </c>
      <c r="H19" s="14" t="n">
        <v>6</v>
      </c>
      <c r="I19" s="16" t="str">
        <f aca="false">IF($B19="","",IF(G19&lt;=N(H19),"REPONER","OK"))</f>
        <v>OK</v>
      </c>
      <c r="J19" s="17" t="n">
        <v>8.9</v>
      </c>
      <c r="K19" s="18" t="n">
        <f aca="false">IF(OR($B19="",$J19=""),"",G19*N(J19))</f>
        <v>160.2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3"/>
      <c r="B20" s="13"/>
      <c r="C20" s="13"/>
      <c r="D20" s="14"/>
      <c r="E20" s="15" t="str">
        <f aca="false">IF($B20="","",SUMIFS(Movimientos!$F$4:$F$303,Movimientos!$B$4:$B$303,$A20,Movimientos!$F$4:$F$303,"&gt;0"))</f>
        <v/>
      </c>
      <c r="F20" s="15" t="str">
        <f aca="false">IF($B20="","",-SUMIFS(Movimientos!$F$4:$F$303,Movimientos!$B$4:$B$303,$A20,Movimientos!$F$4:$F$303,"&lt;0"))</f>
        <v/>
      </c>
      <c r="G20" s="15" t="str">
        <f aca="false">IF($B20="","",N(D20)+E20-F20)</f>
        <v/>
      </c>
      <c r="H20" s="14"/>
      <c r="I20" s="16" t="str">
        <f aca="false">IF($B20="","",IF(G20&lt;=N(H20),"REPONER","OK"))</f>
        <v/>
      </c>
      <c r="J20" s="17"/>
      <c r="K20" s="18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3"/>
      <c r="B21" s="13"/>
      <c r="C21" s="13"/>
      <c r="D21" s="14"/>
      <c r="E21" s="15" t="str">
        <f aca="false">IF($B21="","",SUMIFS(Movimientos!$F$4:$F$303,Movimientos!$B$4:$B$303,$A21,Movimientos!$F$4:$F$303,"&gt;0"))</f>
        <v/>
      </c>
      <c r="F21" s="15" t="str">
        <f aca="false">IF($B21="","",-SUMIFS(Movimientos!$F$4:$F$303,Movimientos!$B$4:$B$303,$A21,Movimientos!$F$4:$F$303,"&lt;0"))</f>
        <v/>
      </c>
      <c r="G21" s="15" t="str">
        <f aca="false">IF($B21="","",N(D21)+E21-F21)</f>
        <v/>
      </c>
      <c r="H21" s="14"/>
      <c r="I21" s="16" t="str">
        <f aca="false">IF($B21="","",IF(G21&lt;=N(H21),"REPONER","OK"))</f>
        <v/>
      </c>
      <c r="J21" s="17"/>
      <c r="K21" s="18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3"/>
      <c r="B22" s="13"/>
      <c r="C22" s="13"/>
      <c r="D22" s="14"/>
      <c r="E22" s="15" t="str">
        <f aca="false">IF($B22="","",SUMIFS(Movimientos!$F$4:$F$303,Movimientos!$B$4:$B$303,$A22,Movimientos!$F$4:$F$303,"&gt;0"))</f>
        <v/>
      </c>
      <c r="F22" s="15" t="str">
        <f aca="false">IF($B22="","",-SUMIFS(Movimientos!$F$4:$F$303,Movimientos!$B$4:$B$303,$A22,Movimientos!$F$4:$F$303,"&lt;0"))</f>
        <v/>
      </c>
      <c r="G22" s="15" t="str">
        <f aca="false">IF($B22="","",N(D22)+E22-F22)</f>
        <v/>
      </c>
      <c r="H22" s="14"/>
      <c r="I22" s="16" t="str">
        <f aca="false">IF($B22="","",IF(G22&lt;=N(H22),"REPONER","OK"))</f>
        <v/>
      </c>
      <c r="J22" s="17"/>
      <c r="K22" s="18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3"/>
      <c r="B23" s="13"/>
      <c r="C23" s="13"/>
      <c r="D23" s="14"/>
      <c r="E23" s="15" t="str">
        <f aca="false">IF($B23="","",SUMIFS(Movimientos!$F$4:$F$303,Movimientos!$B$4:$B$303,$A23,Movimientos!$F$4:$F$303,"&gt;0"))</f>
        <v/>
      </c>
      <c r="F23" s="15" t="str">
        <f aca="false">IF($B23="","",-SUMIFS(Movimientos!$F$4:$F$303,Movimientos!$B$4:$B$303,$A23,Movimientos!$F$4:$F$303,"&lt;0"))</f>
        <v/>
      </c>
      <c r="G23" s="15" t="str">
        <f aca="false">IF($B23="","",N(D23)+E23-F23)</f>
        <v/>
      </c>
      <c r="H23" s="14"/>
      <c r="I23" s="16" t="str">
        <f aca="false">IF($B23="","",IF(G23&lt;=N(H23),"REPONER","OK"))</f>
        <v/>
      </c>
      <c r="J23" s="17"/>
      <c r="K23" s="18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3"/>
      <c r="B24" s="13"/>
      <c r="C24" s="13"/>
      <c r="D24" s="14"/>
      <c r="E24" s="15" t="str">
        <f aca="false">IF($B24="","",SUMIFS(Movimientos!$F$4:$F$303,Movimientos!$B$4:$B$303,$A24,Movimientos!$F$4:$F$303,"&gt;0"))</f>
        <v/>
      </c>
      <c r="F24" s="15" t="str">
        <f aca="false">IF($B24="","",-SUMIFS(Movimientos!$F$4:$F$303,Movimientos!$B$4:$B$303,$A24,Movimientos!$F$4:$F$303,"&lt;0"))</f>
        <v/>
      </c>
      <c r="G24" s="15" t="str">
        <f aca="false">IF($B24="","",N(D24)+E24-F24)</f>
        <v/>
      </c>
      <c r="H24" s="14"/>
      <c r="I24" s="16" t="str">
        <f aca="false">IF($B24="","",IF(G24&lt;=N(H24),"REPONER","OK"))</f>
        <v/>
      </c>
      <c r="J24" s="17"/>
      <c r="K24" s="18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3"/>
      <c r="B25" s="13"/>
      <c r="C25" s="13"/>
      <c r="D25" s="14"/>
      <c r="E25" s="15" t="str">
        <f aca="false">IF($B25="","",SUMIFS(Movimientos!$F$4:$F$303,Movimientos!$B$4:$B$303,$A25,Movimientos!$F$4:$F$303,"&gt;0"))</f>
        <v/>
      </c>
      <c r="F25" s="15" t="str">
        <f aca="false">IF($B25="","",-SUMIFS(Movimientos!$F$4:$F$303,Movimientos!$B$4:$B$303,$A25,Movimientos!$F$4:$F$303,"&lt;0"))</f>
        <v/>
      </c>
      <c r="G25" s="15" t="str">
        <f aca="false">IF($B25="","",N(D25)+E25-F25)</f>
        <v/>
      </c>
      <c r="H25" s="14"/>
      <c r="I25" s="16" t="str">
        <f aca="false">IF($B25="","",IF(G25&lt;=N(H25),"REPONER","OK"))</f>
        <v/>
      </c>
      <c r="J25" s="17"/>
      <c r="K25" s="18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3"/>
      <c r="B26" s="13"/>
      <c r="C26" s="13"/>
      <c r="D26" s="14"/>
      <c r="E26" s="15" t="str">
        <f aca="false">IF($B26="","",SUMIFS(Movimientos!$F$4:$F$303,Movimientos!$B$4:$B$303,$A26,Movimientos!$F$4:$F$303,"&gt;0"))</f>
        <v/>
      </c>
      <c r="F26" s="15" t="str">
        <f aca="false">IF($B26="","",-SUMIFS(Movimientos!$F$4:$F$303,Movimientos!$B$4:$B$303,$A26,Movimientos!$F$4:$F$303,"&lt;0"))</f>
        <v/>
      </c>
      <c r="G26" s="15" t="str">
        <f aca="false">IF($B26="","",N(D26)+E26-F26)</f>
        <v/>
      </c>
      <c r="H26" s="14"/>
      <c r="I26" s="16" t="str">
        <f aca="false">IF($B26="","",IF(G26&lt;=N(H26),"REPONER","OK"))</f>
        <v/>
      </c>
      <c r="J26" s="17"/>
      <c r="K26" s="18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3"/>
      <c r="B27" s="13"/>
      <c r="C27" s="13"/>
      <c r="D27" s="14"/>
      <c r="E27" s="15" t="str">
        <f aca="false">IF($B27="","",SUMIFS(Movimientos!$F$4:$F$303,Movimientos!$B$4:$B$303,$A27,Movimientos!$F$4:$F$303,"&gt;0"))</f>
        <v/>
      </c>
      <c r="F27" s="15" t="str">
        <f aca="false">IF($B27="","",-SUMIFS(Movimientos!$F$4:$F$303,Movimientos!$B$4:$B$303,$A27,Movimientos!$F$4:$F$303,"&lt;0"))</f>
        <v/>
      </c>
      <c r="G27" s="15" t="str">
        <f aca="false">IF($B27="","",N(D27)+E27-F27)</f>
        <v/>
      </c>
      <c r="H27" s="14"/>
      <c r="I27" s="16" t="str">
        <f aca="false">IF($B27="","",IF(G27&lt;=N(H27),"REPONER","OK"))</f>
        <v/>
      </c>
      <c r="J27" s="17"/>
      <c r="K27" s="18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3"/>
      <c r="B28" s="13"/>
      <c r="C28" s="13"/>
      <c r="D28" s="14"/>
      <c r="E28" s="15" t="str">
        <f aca="false">IF($B28="","",SUMIFS(Movimientos!$F$4:$F$303,Movimientos!$B$4:$B$303,$A28,Movimientos!$F$4:$F$303,"&gt;0"))</f>
        <v/>
      </c>
      <c r="F28" s="15" t="str">
        <f aca="false">IF($B28="","",-SUMIFS(Movimientos!$F$4:$F$303,Movimientos!$B$4:$B$303,$A28,Movimientos!$F$4:$F$303,"&lt;0"))</f>
        <v/>
      </c>
      <c r="G28" s="15" t="str">
        <f aca="false">IF($B28="","",N(D28)+E28-F28)</f>
        <v/>
      </c>
      <c r="H28" s="14"/>
      <c r="I28" s="16" t="str">
        <f aca="false">IF($B28="","",IF(G28&lt;=N(H28),"REPONER","OK"))</f>
        <v/>
      </c>
      <c r="J28" s="17"/>
      <c r="K28" s="18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3"/>
      <c r="B29" s="13"/>
      <c r="C29" s="13"/>
      <c r="D29" s="14"/>
      <c r="E29" s="15" t="str">
        <f aca="false">IF($B29="","",SUMIFS(Movimientos!$F$4:$F$303,Movimientos!$B$4:$B$303,$A29,Movimientos!$F$4:$F$303,"&gt;0"))</f>
        <v/>
      </c>
      <c r="F29" s="15" t="str">
        <f aca="false">IF($B29="","",-SUMIFS(Movimientos!$F$4:$F$303,Movimientos!$B$4:$B$303,$A29,Movimientos!$F$4:$F$303,"&lt;0"))</f>
        <v/>
      </c>
      <c r="G29" s="15" t="str">
        <f aca="false">IF($B29="","",N(D29)+E29-F29)</f>
        <v/>
      </c>
      <c r="H29" s="14"/>
      <c r="I29" s="16" t="str">
        <f aca="false">IF($B29="","",IF(G29&lt;=N(H29),"REPONER","OK"))</f>
        <v/>
      </c>
      <c r="J29" s="17"/>
      <c r="K29" s="18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3"/>
      <c r="B30" s="13"/>
      <c r="C30" s="13"/>
      <c r="D30" s="14"/>
      <c r="E30" s="15" t="str">
        <f aca="false">IF($B30="","",SUMIFS(Movimientos!$F$4:$F$303,Movimientos!$B$4:$B$303,$A30,Movimientos!$F$4:$F$303,"&gt;0"))</f>
        <v/>
      </c>
      <c r="F30" s="15" t="str">
        <f aca="false">IF($B30="","",-SUMIFS(Movimientos!$F$4:$F$303,Movimientos!$B$4:$B$303,$A30,Movimientos!$F$4:$F$303,"&lt;0"))</f>
        <v/>
      </c>
      <c r="G30" s="15" t="str">
        <f aca="false">IF($B30="","",N(D30)+E30-F30)</f>
        <v/>
      </c>
      <c r="H30" s="14"/>
      <c r="I30" s="16" t="str">
        <f aca="false">IF($B30="","",IF(G30&lt;=N(H30),"REPONER","OK"))</f>
        <v/>
      </c>
      <c r="J30" s="17"/>
      <c r="K30" s="18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3"/>
      <c r="B31" s="13"/>
      <c r="C31" s="13"/>
      <c r="D31" s="14"/>
      <c r="E31" s="15" t="str">
        <f aca="false">IF($B31="","",SUMIFS(Movimientos!$F$4:$F$303,Movimientos!$B$4:$B$303,$A31,Movimientos!$F$4:$F$303,"&gt;0"))</f>
        <v/>
      </c>
      <c r="F31" s="15" t="str">
        <f aca="false">IF($B31="","",-SUMIFS(Movimientos!$F$4:$F$303,Movimientos!$B$4:$B$303,$A31,Movimientos!$F$4:$F$303,"&lt;0"))</f>
        <v/>
      </c>
      <c r="G31" s="15" t="str">
        <f aca="false">IF($B31="","",N(D31)+E31-F31)</f>
        <v/>
      </c>
      <c r="H31" s="14"/>
      <c r="I31" s="16" t="str">
        <f aca="false">IF($B31="","",IF(G31&lt;=N(H31),"REPONER","OK"))</f>
        <v/>
      </c>
      <c r="J31" s="17"/>
      <c r="K31" s="18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3"/>
      <c r="B32" s="13"/>
      <c r="C32" s="13"/>
      <c r="D32" s="14"/>
      <c r="E32" s="15" t="str">
        <f aca="false">IF($B32="","",SUMIFS(Movimientos!$F$4:$F$303,Movimientos!$B$4:$B$303,$A32,Movimientos!$F$4:$F$303,"&gt;0"))</f>
        <v/>
      </c>
      <c r="F32" s="15" t="str">
        <f aca="false">IF($B32="","",-SUMIFS(Movimientos!$F$4:$F$303,Movimientos!$B$4:$B$303,$A32,Movimientos!$F$4:$F$303,"&lt;0"))</f>
        <v/>
      </c>
      <c r="G32" s="15" t="str">
        <f aca="false">IF($B32="","",N(D32)+E32-F32)</f>
        <v/>
      </c>
      <c r="H32" s="14"/>
      <c r="I32" s="16" t="str">
        <f aca="false">IF($B32="","",IF(G32&lt;=N(H32),"REPONER","OK"))</f>
        <v/>
      </c>
      <c r="J32" s="17"/>
      <c r="K32" s="18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3"/>
      <c r="B33" s="13"/>
      <c r="C33" s="13"/>
      <c r="D33" s="14"/>
      <c r="E33" s="15" t="str">
        <f aca="false">IF($B33="","",SUMIFS(Movimientos!$F$4:$F$303,Movimientos!$B$4:$B$303,$A33,Movimientos!$F$4:$F$303,"&gt;0"))</f>
        <v/>
      </c>
      <c r="F33" s="15" t="str">
        <f aca="false">IF($B33="","",-SUMIFS(Movimientos!$F$4:$F$303,Movimientos!$B$4:$B$303,$A33,Movimientos!$F$4:$F$303,"&lt;0"))</f>
        <v/>
      </c>
      <c r="G33" s="15" t="str">
        <f aca="false">IF($B33="","",N(D33)+E33-F33)</f>
        <v/>
      </c>
      <c r="H33" s="14"/>
      <c r="I33" s="16" t="str">
        <f aca="false">IF($B33="","",IF(G33&lt;=N(H33),"REPONER","OK"))</f>
        <v/>
      </c>
      <c r="J33" s="17"/>
      <c r="K33" s="18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3"/>
      <c r="B34" s="13"/>
      <c r="C34" s="13"/>
      <c r="D34" s="14"/>
      <c r="E34" s="15" t="str">
        <f aca="false">IF($B34="","",SUMIFS(Movimientos!$F$4:$F$303,Movimientos!$B$4:$B$303,$A34,Movimientos!$F$4:$F$303,"&gt;0"))</f>
        <v/>
      </c>
      <c r="F34" s="15" t="str">
        <f aca="false">IF($B34="","",-SUMIFS(Movimientos!$F$4:$F$303,Movimientos!$B$4:$B$303,$A34,Movimientos!$F$4:$F$303,"&lt;0"))</f>
        <v/>
      </c>
      <c r="G34" s="15" t="str">
        <f aca="false">IF($B34="","",N(D34)+E34-F34)</f>
        <v/>
      </c>
      <c r="H34" s="14"/>
      <c r="I34" s="16" t="str">
        <f aca="false">IF($B34="","",IF(G34&lt;=N(H34),"REPONER","OK"))</f>
        <v/>
      </c>
      <c r="J34" s="17"/>
      <c r="K34" s="18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3"/>
      <c r="B35" s="13"/>
      <c r="C35" s="13"/>
      <c r="D35" s="14"/>
      <c r="E35" s="15" t="str">
        <f aca="false">IF($B35="","",SUMIFS(Movimientos!$F$4:$F$303,Movimientos!$B$4:$B$303,$A35,Movimientos!$F$4:$F$303,"&gt;0"))</f>
        <v/>
      </c>
      <c r="F35" s="15" t="str">
        <f aca="false">IF($B35="","",-SUMIFS(Movimientos!$F$4:$F$303,Movimientos!$B$4:$B$303,$A35,Movimientos!$F$4:$F$303,"&lt;0"))</f>
        <v/>
      </c>
      <c r="G35" s="15" t="str">
        <f aca="false">IF($B35="","",N(D35)+E35-F35)</f>
        <v/>
      </c>
      <c r="H35" s="14"/>
      <c r="I35" s="16" t="str">
        <f aca="false">IF($B35="","",IF(G35&lt;=N(H35),"REPONER","OK"))</f>
        <v/>
      </c>
      <c r="J35" s="17"/>
      <c r="K35" s="18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3"/>
      <c r="B36" s="13"/>
      <c r="C36" s="13"/>
      <c r="D36" s="14"/>
      <c r="E36" s="15" t="str">
        <f aca="false">IF($B36="","",SUMIFS(Movimientos!$F$4:$F$303,Movimientos!$B$4:$B$303,$A36,Movimientos!$F$4:$F$303,"&gt;0"))</f>
        <v/>
      </c>
      <c r="F36" s="15" t="str">
        <f aca="false">IF($B36="","",-SUMIFS(Movimientos!$F$4:$F$303,Movimientos!$B$4:$B$303,$A36,Movimientos!$F$4:$F$303,"&lt;0"))</f>
        <v/>
      </c>
      <c r="G36" s="15" t="str">
        <f aca="false">IF($B36="","",N(D36)+E36-F36)</f>
        <v/>
      </c>
      <c r="H36" s="14"/>
      <c r="I36" s="16" t="str">
        <f aca="false">IF($B36="","",IF(G36&lt;=N(H36),"REPONER","OK"))</f>
        <v/>
      </c>
      <c r="J36" s="17"/>
      <c r="K36" s="18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3"/>
      <c r="B37" s="13"/>
      <c r="C37" s="13"/>
      <c r="D37" s="14"/>
      <c r="E37" s="15" t="str">
        <f aca="false">IF($B37="","",SUMIFS(Movimientos!$F$4:$F$303,Movimientos!$B$4:$B$303,$A37,Movimientos!$F$4:$F$303,"&gt;0"))</f>
        <v/>
      </c>
      <c r="F37" s="15" t="str">
        <f aca="false">IF($B37="","",-SUMIFS(Movimientos!$F$4:$F$303,Movimientos!$B$4:$B$303,$A37,Movimientos!$F$4:$F$303,"&lt;0"))</f>
        <v/>
      </c>
      <c r="G37" s="15" t="str">
        <f aca="false">IF($B37="","",N(D37)+E37-F37)</f>
        <v/>
      </c>
      <c r="H37" s="14"/>
      <c r="I37" s="16" t="str">
        <f aca="false">IF($B37="","",IF(G37&lt;=N(H37),"REPONER","OK"))</f>
        <v/>
      </c>
      <c r="J37" s="17"/>
      <c r="K37" s="18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3"/>
      <c r="B38" s="13"/>
      <c r="C38" s="13"/>
      <c r="D38" s="14"/>
      <c r="E38" s="15" t="str">
        <f aca="false">IF($B38="","",SUMIFS(Movimientos!$F$4:$F$303,Movimientos!$B$4:$B$303,$A38,Movimientos!$F$4:$F$303,"&gt;0"))</f>
        <v/>
      </c>
      <c r="F38" s="15" t="str">
        <f aca="false">IF($B38="","",-SUMIFS(Movimientos!$F$4:$F$303,Movimientos!$B$4:$B$303,$A38,Movimientos!$F$4:$F$303,"&lt;0"))</f>
        <v/>
      </c>
      <c r="G38" s="15" t="str">
        <f aca="false">IF($B38="","",N(D38)+E38-F38)</f>
        <v/>
      </c>
      <c r="H38" s="14"/>
      <c r="I38" s="16" t="str">
        <f aca="false">IF($B38="","",IF(G38&lt;=N(H38),"REPONER","OK"))</f>
        <v/>
      </c>
      <c r="J38" s="17"/>
      <c r="K38" s="18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3"/>
      <c r="B39" s="13"/>
      <c r="C39" s="13"/>
      <c r="D39" s="14"/>
      <c r="E39" s="15" t="str">
        <f aca="false">IF($B39="","",SUMIFS(Movimientos!$F$4:$F$303,Movimientos!$B$4:$B$303,$A39,Movimientos!$F$4:$F$303,"&gt;0"))</f>
        <v/>
      </c>
      <c r="F39" s="15" t="str">
        <f aca="false">IF($B39="","",-SUMIFS(Movimientos!$F$4:$F$303,Movimientos!$B$4:$B$303,$A39,Movimientos!$F$4:$F$303,"&lt;0"))</f>
        <v/>
      </c>
      <c r="G39" s="15" t="str">
        <f aca="false">IF($B39="","",N(D39)+E39-F39)</f>
        <v/>
      </c>
      <c r="H39" s="14"/>
      <c r="I39" s="16" t="str">
        <f aca="false">IF($B39="","",IF(G39&lt;=N(H39),"REPONER","OK"))</f>
        <v/>
      </c>
      <c r="J39" s="17"/>
      <c r="K39" s="18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3"/>
      <c r="B40" s="13"/>
      <c r="C40" s="13"/>
      <c r="D40" s="14"/>
      <c r="E40" s="15" t="str">
        <f aca="false">IF($B40="","",SUMIFS(Movimientos!$F$4:$F$303,Movimientos!$B$4:$B$303,$A40,Movimientos!$F$4:$F$303,"&gt;0"))</f>
        <v/>
      </c>
      <c r="F40" s="15" t="str">
        <f aca="false">IF($B40="","",-SUMIFS(Movimientos!$F$4:$F$303,Movimientos!$B$4:$B$303,$A40,Movimientos!$F$4:$F$303,"&lt;0"))</f>
        <v/>
      </c>
      <c r="G40" s="15" t="str">
        <f aca="false">IF($B40="","",N(D40)+E40-F40)</f>
        <v/>
      </c>
      <c r="H40" s="14"/>
      <c r="I40" s="16" t="str">
        <f aca="false">IF($B40="","",IF(G40&lt;=N(H40),"REPONER","OK"))</f>
        <v/>
      </c>
      <c r="J40" s="17"/>
      <c r="K40" s="18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3"/>
      <c r="B41" s="13"/>
      <c r="C41" s="13"/>
      <c r="D41" s="14"/>
      <c r="E41" s="15" t="str">
        <f aca="false">IF($B41="","",SUMIFS(Movimientos!$F$4:$F$303,Movimientos!$B$4:$B$303,$A41,Movimientos!$F$4:$F$303,"&gt;0"))</f>
        <v/>
      </c>
      <c r="F41" s="15" t="str">
        <f aca="false">IF($B41="","",-SUMIFS(Movimientos!$F$4:$F$303,Movimientos!$B$4:$B$303,$A41,Movimientos!$F$4:$F$303,"&lt;0"))</f>
        <v/>
      </c>
      <c r="G41" s="15" t="str">
        <f aca="false">IF($B41="","",N(D41)+E41-F41)</f>
        <v/>
      </c>
      <c r="H41" s="14"/>
      <c r="I41" s="16" t="str">
        <f aca="false">IF($B41="","",IF(G41&lt;=N(H41),"REPONER","OK"))</f>
        <v/>
      </c>
      <c r="J41" s="17"/>
      <c r="K41" s="18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3"/>
      <c r="B42" s="13"/>
      <c r="C42" s="13"/>
      <c r="D42" s="14"/>
      <c r="E42" s="15" t="str">
        <f aca="false">IF($B42="","",SUMIFS(Movimientos!$F$4:$F$303,Movimientos!$B$4:$B$303,$A42,Movimientos!$F$4:$F$303,"&gt;0"))</f>
        <v/>
      </c>
      <c r="F42" s="15" t="str">
        <f aca="false">IF($B42="","",-SUMIFS(Movimientos!$F$4:$F$303,Movimientos!$B$4:$B$303,$A42,Movimientos!$F$4:$F$303,"&lt;0"))</f>
        <v/>
      </c>
      <c r="G42" s="15" t="str">
        <f aca="false">IF($B42="","",N(D42)+E42-F42)</f>
        <v/>
      </c>
      <c r="H42" s="14"/>
      <c r="I42" s="16" t="str">
        <f aca="false">IF($B42="","",IF(G42&lt;=N(H42),"REPONER","OK"))</f>
        <v/>
      </c>
      <c r="J42" s="17"/>
      <c r="K42" s="18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3"/>
      <c r="B43" s="13"/>
      <c r="C43" s="13"/>
      <c r="D43" s="14"/>
      <c r="E43" s="15" t="str">
        <f aca="false">IF($B43="","",SUMIFS(Movimientos!$F$4:$F$303,Movimientos!$B$4:$B$303,$A43,Movimientos!$F$4:$F$303,"&gt;0"))</f>
        <v/>
      </c>
      <c r="F43" s="15" t="str">
        <f aca="false">IF($B43="","",-SUMIFS(Movimientos!$F$4:$F$303,Movimientos!$B$4:$B$303,$A43,Movimientos!$F$4:$F$303,"&lt;0"))</f>
        <v/>
      </c>
      <c r="G43" s="15" t="str">
        <f aca="false">IF($B43="","",N(D43)+E43-F43)</f>
        <v/>
      </c>
      <c r="H43" s="14"/>
      <c r="I43" s="16" t="str">
        <f aca="false">IF($B43="","",IF(G43&lt;=N(H43),"REPONER","OK"))</f>
        <v/>
      </c>
      <c r="J43" s="17"/>
      <c r="K43" s="18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3"/>
      <c r="B44" s="13"/>
      <c r="C44" s="13"/>
      <c r="D44" s="14"/>
      <c r="E44" s="15" t="str">
        <f aca="false">IF($B44="","",SUMIFS(Movimientos!$F$4:$F$303,Movimientos!$B$4:$B$303,$A44,Movimientos!$F$4:$F$303,"&gt;0"))</f>
        <v/>
      </c>
      <c r="F44" s="15" t="str">
        <f aca="false">IF($B44="","",-SUMIFS(Movimientos!$F$4:$F$303,Movimientos!$B$4:$B$303,$A44,Movimientos!$F$4:$F$303,"&lt;0"))</f>
        <v/>
      </c>
      <c r="G44" s="15" t="str">
        <f aca="false">IF($B44="","",N(D44)+E44-F44)</f>
        <v/>
      </c>
      <c r="H44" s="14"/>
      <c r="I44" s="16" t="str">
        <f aca="false">IF($B44="","",IF(G44&lt;=N(H44),"REPONER","OK"))</f>
        <v/>
      </c>
      <c r="J44" s="17"/>
      <c r="K44" s="18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3"/>
      <c r="B45" s="13"/>
      <c r="C45" s="13"/>
      <c r="D45" s="14"/>
      <c r="E45" s="15" t="str">
        <f aca="false">IF($B45="","",SUMIFS(Movimientos!$F$4:$F$303,Movimientos!$B$4:$B$303,$A45,Movimientos!$F$4:$F$303,"&gt;0"))</f>
        <v/>
      </c>
      <c r="F45" s="15" t="str">
        <f aca="false">IF($B45="","",-SUMIFS(Movimientos!$F$4:$F$303,Movimientos!$B$4:$B$303,$A45,Movimientos!$F$4:$F$303,"&lt;0"))</f>
        <v/>
      </c>
      <c r="G45" s="15" t="str">
        <f aca="false">IF($B45="","",N(D45)+E45-F45)</f>
        <v/>
      </c>
      <c r="H45" s="14"/>
      <c r="I45" s="16" t="str">
        <f aca="false">IF($B45="","",IF(G45&lt;=N(H45),"REPONER","OK"))</f>
        <v/>
      </c>
      <c r="J45" s="17"/>
      <c r="K45" s="18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3"/>
      <c r="B46" s="13"/>
      <c r="C46" s="13"/>
      <c r="D46" s="14"/>
      <c r="E46" s="15" t="str">
        <f aca="false">IF($B46="","",SUMIFS(Movimientos!$F$4:$F$303,Movimientos!$B$4:$B$303,$A46,Movimientos!$F$4:$F$303,"&gt;0"))</f>
        <v/>
      </c>
      <c r="F46" s="15" t="str">
        <f aca="false">IF($B46="","",-SUMIFS(Movimientos!$F$4:$F$303,Movimientos!$B$4:$B$303,$A46,Movimientos!$F$4:$F$303,"&lt;0"))</f>
        <v/>
      </c>
      <c r="G46" s="15" t="str">
        <f aca="false">IF($B46="","",N(D46)+E46-F46)</f>
        <v/>
      </c>
      <c r="H46" s="14"/>
      <c r="I46" s="16" t="str">
        <f aca="false">IF($B46="","",IF(G46&lt;=N(H46),"REPONER","OK"))</f>
        <v/>
      </c>
      <c r="J46" s="17"/>
      <c r="K46" s="18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3"/>
      <c r="B47" s="13"/>
      <c r="C47" s="13"/>
      <c r="D47" s="14"/>
      <c r="E47" s="15" t="str">
        <f aca="false">IF($B47="","",SUMIFS(Movimientos!$F$4:$F$303,Movimientos!$B$4:$B$303,$A47,Movimientos!$F$4:$F$303,"&gt;0"))</f>
        <v/>
      </c>
      <c r="F47" s="15" t="str">
        <f aca="false">IF($B47="","",-SUMIFS(Movimientos!$F$4:$F$303,Movimientos!$B$4:$B$303,$A47,Movimientos!$F$4:$F$303,"&lt;0"))</f>
        <v/>
      </c>
      <c r="G47" s="15" t="str">
        <f aca="false">IF($B47="","",N(D47)+E47-F47)</f>
        <v/>
      </c>
      <c r="H47" s="14"/>
      <c r="I47" s="16" t="str">
        <f aca="false">IF($B47="","",IF(G47&lt;=N(H47),"REPONER","OK"))</f>
        <v/>
      </c>
      <c r="J47" s="17"/>
      <c r="K47" s="18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3"/>
      <c r="B48" s="13"/>
      <c r="C48" s="13"/>
      <c r="D48" s="14"/>
      <c r="E48" s="15" t="str">
        <f aca="false">IF($B48="","",SUMIFS(Movimientos!$F$4:$F$303,Movimientos!$B$4:$B$303,$A48,Movimientos!$F$4:$F$303,"&gt;0"))</f>
        <v/>
      </c>
      <c r="F48" s="15" t="str">
        <f aca="false">IF($B48="","",-SUMIFS(Movimientos!$F$4:$F$303,Movimientos!$B$4:$B$303,$A48,Movimientos!$F$4:$F$303,"&lt;0"))</f>
        <v/>
      </c>
      <c r="G48" s="15" t="str">
        <f aca="false">IF($B48="","",N(D48)+E48-F48)</f>
        <v/>
      </c>
      <c r="H48" s="14"/>
      <c r="I48" s="16" t="str">
        <f aca="false">IF($B48="","",IF(G48&lt;=N(H48),"REPONER","OK"))</f>
        <v/>
      </c>
      <c r="J48" s="17"/>
      <c r="K48" s="18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3"/>
      <c r="B49" s="13"/>
      <c r="C49" s="13"/>
      <c r="D49" s="14"/>
      <c r="E49" s="15" t="str">
        <f aca="false">IF($B49="","",SUMIFS(Movimientos!$F$4:$F$303,Movimientos!$B$4:$B$303,$A49,Movimientos!$F$4:$F$303,"&gt;0"))</f>
        <v/>
      </c>
      <c r="F49" s="15" t="str">
        <f aca="false">IF($B49="","",-SUMIFS(Movimientos!$F$4:$F$303,Movimientos!$B$4:$B$303,$A49,Movimientos!$F$4:$F$303,"&lt;0"))</f>
        <v/>
      </c>
      <c r="G49" s="15" t="str">
        <f aca="false">IF($B49="","",N(D49)+E49-F49)</f>
        <v/>
      </c>
      <c r="H49" s="14"/>
      <c r="I49" s="16" t="str">
        <f aca="false">IF($B49="","",IF(G49&lt;=N(H49),"REPONER","OK"))</f>
        <v/>
      </c>
      <c r="J49" s="17"/>
      <c r="K49" s="18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3"/>
      <c r="B50" s="13"/>
      <c r="C50" s="13"/>
      <c r="D50" s="14"/>
      <c r="E50" s="15" t="str">
        <f aca="false">IF($B50="","",SUMIFS(Movimientos!$F$4:$F$303,Movimientos!$B$4:$B$303,$A50,Movimientos!$F$4:$F$303,"&gt;0"))</f>
        <v/>
      </c>
      <c r="F50" s="15" t="str">
        <f aca="false">IF($B50="","",-SUMIFS(Movimientos!$F$4:$F$303,Movimientos!$B$4:$B$303,$A50,Movimientos!$F$4:$F$303,"&lt;0"))</f>
        <v/>
      </c>
      <c r="G50" s="15" t="str">
        <f aca="false">IF($B50="","",N(D50)+E50-F50)</f>
        <v/>
      </c>
      <c r="H50" s="14"/>
      <c r="I50" s="16" t="str">
        <f aca="false">IF($B50="","",IF(G50&lt;=N(H50),"REPONER","OK"))</f>
        <v/>
      </c>
      <c r="J50" s="17"/>
      <c r="K50" s="18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3"/>
      <c r="B51" s="13"/>
      <c r="C51" s="13"/>
      <c r="D51" s="14"/>
      <c r="E51" s="15" t="str">
        <f aca="false">IF($B51="","",SUMIFS(Movimientos!$F$4:$F$303,Movimientos!$B$4:$B$303,$A51,Movimientos!$F$4:$F$303,"&gt;0"))</f>
        <v/>
      </c>
      <c r="F51" s="15" t="str">
        <f aca="false">IF($B51="","",-SUMIFS(Movimientos!$F$4:$F$303,Movimientos!$B$4:$B$303,$A51,Movimientos!$F$4:$F$303,"&lt;0"))</f>
        <v/>
      </c>
      <c r="G51" s="15" t="str">
        <f aca="false">IF($B51="","",N(D51)+E51-F51)</f>
        <v/>
      </c>
      <c r="H51" s="14"/>
      <c r="I51" s="16" t="str">
        <f aca="false">IF($B51="","",IF(G51&lt;=N(H51),"REPONER","OK"))</f>
        <v/>
      </c>
      <c r="J51" s="17"/>
      <c r="K51" s="18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3"/>
      <c r="B52" s="13"/>
      <c r="C52" s="13"/>
      <c r="D52" s="14"/>
      <c r="E52" s="15" t="str">
        <f aca="false">IF($B52="","",SUMIFS(Movimientos!$F$4:$F$303,Movimientos!$B$4:$B$303,$A52,Movimientos!$F$4:$F$303,"&gt;0"))</f>
        <v/>
      </c>
      <c r="F52" s="15" t="str">
        <f aca="false">IF($B52="","",-SUMIFS(Movimientos!$F$4:$F$303,Movimientos!$B$4:$B$303,$A52,Movimientos!$F$4:$F$303,"&lt;0"))</f>
        <v/>
      </c>
      <c r="G52" s="15" t="str">
        <f aca="false">IF($B52="","",N(D52)+E52-F52)</f>
        <v/>
      </c>
      <c r="H52" s="14"/>
      <c r="I52" s="16" t="str">
        <f aca="false">IF($B52="","",IF(G52&lt;=N(H52),"REPONER","OK"))</f>
        <v/>
      </c>
      <c r="J52" s="17"/>
      <c r="K52" s="18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3"/>
      <c r="B53" s="13"/>
      <c r="C53" s="13"/>
      <c r="D53" s="14"/>
      <c r="E53" s="15" t="str">
        <f aca="false">IF($B53="","",SUMIFS(Movimientos!$F$4:$F$303,Movimientos!$B$4:$B$303,$A53,Movimientos!$F$4:$F$303,"&gt;0"))</f>
        <v/>
      </c>
      <c r="F53" s="15" t="str">
        <f aca="false">IF($B53="","",-SUMIFS(Movimientos!$F$4:$F$303,Movimientos!$B$4:$B$303,$A53,Movimientos!$F$4:$F$303,"&lt;0"))</f>
        <v/>
      </c>
      <c r="G53" s="15" t="str">
        <f aca="false">IF($B53="","",N(D53)+E53-F53)</f>
        <v/>
      </c>
      <c r="H53" s="14"/>
      <c r="I53" s="16" t="str">
        <f aca="false">IF($B53="","",IF(G53&lt;=N(H53),"REPONER","OK"))</f>
        <v/>
      </c>
      <c r="J53" s="17"/>
      <c r="K53" s="18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3"/>
      <c r="B54" s="13"/>
      <c r="C54" s="13"/>
      <c r="D54" s="14"/>
      <c r="E54" s="15" t="str">
        <f aca="false">IF($B54="","",SUMIFS(Movimientos!$F$4:$F$303,Movimientos!$B$4:$B$303,$A54,Movimientos!$F$4:$F$303,"&gt;0"))</f>
        <v/>
      </c>
      <c r="F54" s="15" t="str">
        <f aca="false">IF($B54="","",-SUMIFS(Movimientos!$F$4:$F$303,Movimientos!$B$4:$B$303,$A54,Movimientos!$F$4:$F$303,"&lt;0"))</f>
        <v/>
      </c>
      <c r="G54" s="15" t="str">
        <f aca="false">IF($B54="","",N(D54)+E54-F54)</f>
        <v/>
      </c>
      <c r="H54" s="14"/>
      <c r="I54" s="16" t="str">
        <f aca="false">IF($B54="","",IF(G54&lt;=N(H54),"REPONER","OK"))</f>
        <v/>
      </c>
      <c r="J54" s="17"/>
      <c r="K54" s="18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3"/>
      <c r="B55" s="13"/>
      <c r="C55" s="13"/>
      <c r="D55" s="14"/>
      <c r="E55" s="15" t="str">
        <f aca="false">IF($B55="","",SUMIFS(Movimientos!$F$4:$F$303,Movimientos!$B$4:$B$303,$A55,Movimientos!$F$4:$F$303,"&gt;0"))</f>
        <v/>
      </c>
      <c r="F55" s="15" t="str">
        <f aca="false">IF($B55="","",-SUMIFS(Movimientos!$F$4:$F$303,Movimientos!$B$4:$B$303,$A55,Movimientos!$F$4:$F$303,"&lt;0"))</f>
        <v/>
      </c>
      <c r="G55" s="15" t="str">
        <f aca="false">IF($B55="","",N(D55)+E55-F55)</f>
        <v/>
      </c>
      <c r="H55" s="14"/>
      <c r="I55" s="16" t="str">
        <f aca="false">IF($B55="","",IF(G55&lt;=N(H55),"REPONER","OK"))</f>
        <v/>
      </c>
      <c r="J55" s="17"/>
      <c r="K55" s="18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3"/>
      <c r="B56" s="13"/>
      <c r="C56" s="13"/>
      <c r="D56" s="14"/>
      <c r="E56" s="15" t="str">
        <f aca="false">IF($B56="","",SUMIFS(Movimientos!$F$4:$F$303,Movimientos!$B$4:$B$303,$A56,Movimientos!$F$4:$F$303,"&gt;0"))</f>
        <v/>
      </c>
      <c r="F56" s="15" t="str">
        <f aca="false">IF($B56="","",-SUMIFS(Movimientos!$F$4:$F$303,Movimientos!$B$4:$B$303,$A56,Movimientos!$F$4:$F$303,"&lt;0"))</f>
        <v/>
      </c>
      <c r="G56" s="15" t="str">
        <f aca="false">IF($B56="","",N(D56)+E56-F56)</f>
        <v/>
      </c>
      <c r="H56" s="14"/>
      <c r="I56" s="16" t="str">
        <f aca="false">IF($B56="","",IF(G56&lt;=N(H56),"REPONER","OK"))</f>
        <v/>
      </c>
      <c r="J56" s="17"/>
      <c r="K56" s="18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3"/>
      <c r="B57" s="13"/>
      <c r="C57" s="13"/>
      <c r="D57" s="14"/>
      <c r="E57" s="15" t="str">
        <f aca="false">IF($B57="","",SUMIFS(Movimientos!$F$4:$F$303,Movimientos!$B$4:$B$303,$A57,Movimientos!$F$4:$F$303,"&gt;0"))</f>
        <v/>
      </c>
      <c r="F57" s="15" t="str">
        <f aca="false">IF($B57="","",-SUMIFS(Movimientos!$F$4:$F$303,Movimientos!$B$4:$B$303,$A57,Movimientos!$F$4:$F$303,"&lt;0"))</f>
        <v/>
      </c>
      <c r="G57" s="15" t="str">
        <f aca="false">IF($B57="","",N(D57)+E57-F57)</f>
        <v/>
      </c>
      <c r="H57" s="14"/>
      <c r="I57" s="16" t="str">
        <f aca="false">IF($B57="","",IF(G57&lt;=N(H57),"REPONER","OK"))</f>
        <v/>
      </c>
      <c r="J57" s="17"/>
      <c r="K57" s="18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3"/>
      <c r="B58" s="13"/>
      <c r="C58" s="13"/>
      <c r="D58" s="14"/>
      <c r="E58" s="15" t="str">
        <f aca="false">IF($B58="","",SUMIFS(Movimientos!$F$4:$F$303,Movimientos!$B$4:$B$303,$A58,Movimientos!$F$4:$F$303,"&gt;0"))</f>
        <v/>
      </c>
      <c r="F58" s="15" t="str">
        <f aca="false">IF($B58="","",-SUMIFS(Movimientos!$F$4:$F$303,Movimientos!$B$4:$B$303,$A58,Movimientos!$F$4:$F$303,"&lt;0"))</f>
        <v/>
      </c>
      <c r="G58" s="15" t="str">
        <f aca="false">IF($B58="","",N(D58)+E58-F58)</f>
        <v/>
      </c>
      <c r="H58" s="14"/>
      <c r="I58" s="16" t="str">
        <f aca="false">IF($B58="","",IF(G58&lt;=N(H58),"REPONER","OK"))</f>
        <v/>
      </c>
      <c r="J58" s="17"/>
      <c r="K58" s="18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3"/>
      <c r="B59" s="13"/>
      <c r="C59" s="13"/>
      <c r="D59" s="14"/>
      <c r="E59" s="15" t="str">
        <f aca="false">IF($B59="","",SUMIFS(Movimientos!$F$4:$F$303,Movimientos!$B$4:$B$303,$A59,Movimientos!$F$4:$F$303,"&gt;0"))</f>
        <v/>
      </c>
      <c r="F59" s="15" t="str">
        <f aca="false">IF($B59="","",-SUMIFS(Movimientos!$F$4:$F$303,Movimientos!$B$4:$B$303,$A59,Movimientos!$F$4:$F$303,"&lt;0"))</f>
        <v/>
      </c>
      <c r="G59" s="15" t="str">
        <f aca="false">IF($B59="","",N(D59)+E59-F59)</f>
        <v/>
      </c>
      <c r="H59" s="14"/>
      <c r="I59" s="16" t="str">
        <f aca="false">IF($B59="","",IF(G59&lt;=N(H59),"REPONER","OK"))</f>
        <v/>
      </c>
      <c r="J59" s="17"/>
      <c r="K59" s="18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3"/>
      <c r="B60" s="13"/>
      <c r="C60" s="13"/>
      <c r="D60" s="14"/>
      <c r="E60" s="15" t="str">
        <f aca="false">IF($B60="","",SUMIFS(Movimientos!$F$4:$F$303,Movimientos!$B$4:$B$303,$A60,Movimientos!$F$4:$F$303,"&gt;0"))</f>
        <v/>
      </c>
      <c r="F60" s="15" t="str">
        <f aca="false">IF($B60="","",-SUMIFS(Movimientos!$F$4:$F$303,Movimientos!$B$4:$B$303,$A60,Movimientos!$F$4:$F$303,"&lt;0"))</f>
        <v/>
      </c>
      <c r="G60" s="15" t="str">
        <f aca="false">IF($B60="","",N(D60)+E60-F60)</f>
        <v/>
      </c>
      <c r="H60" s="14"/>
      <c r="I60" s="16" t="str">
        <f aca="false">IF($B60="","",IF(G60&lt;=N(H60),"REPONER","OK"))</f>
        <v/>
      </c>
      <c r="J60" s="17"/>
      <c r="K60" s="18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3"/>
      <c r="B61" s="13"/>
      <c r="C61" s="13"/>
      <c r="D61" s="14"/>
      <c r="E61" s="15" t="str">
        <f aca="false">IF($B61="","",SUMIFS(Movimientos!$F$4:$F$303,Movimientos!$B$4:$B$303,$A61,Movimientos!$F$4:$F$303,"&gt;0"))</f>
        <v/>
      </c>
      <c r="F61" s="15" t="str">
        <f aca="false">IF($B61="","",-SUMIFS(Movimientos!$F$4:$F$303,Movimientos!$B$4:$B$303,$A61,Movimientos!$F$4:$F$303,"&lt;0"))</f>
        <v/>
      </c>
      <c r="G61" s="15" t="str">
        <f aca="false">IF($B61="","",N(D61)+E61-F61)</f>
        <v/>
      </c>
      <c r="H61" s="14"/>
      <c r="I61" s="16" t="str">
        <f aca="false">IF($B61="","",IF(G61&lt;=N(H61),"REPONER","OK"))</f>
        <v/>
      </c>
      <c r="J61" s="17"/>
      <c r="K61" s="18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3"/>
      <c r="B62" s="13"/>
      <c r="C62" s="13"/>
      <c r="D62" s="14"/>
      <c r="E62" s="15" t="str">
        <f aca="false">IF($B62="","",SUMIFS(Movimientos!$F$4:$F$303,Movimientos!$B$4:$B$303,$A62,Movimientos!$F$4:$F$303,"&gt;0"))</f>
        <v/>
      </c>
      <c r="F62" s="15" t="str">
        <f aca="false">IF($B62="","",-SUMIFS(Movimientos!$F$4:$F$303,Movimientos!$B$4:$B$303,$A62,Movimientos!$F$4:$F$303,"&lt;0"))</f>
        <v/>
      </c>
      <c r="G62" s="15" t="str">
        <f aca="false">IF($B62="","",N(D62)+E62-F62)</f>
        <v/>
      </c>
      <c r="H62" s="14"/>
      <c r="I62" s="16" t="str">
        <f aca="false">IF($B62="","",IF(G62&lt;=N(H62),"REPONER","OK"))</f>
        <v/>
      </c>
      <c r="J62" s="17"/>
      <c r="K62" s="18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3"/>
      <c r="B63" s="13"/>
      <c r="C63" s="13"/>
      <c r="D63" s="14"/>
      <c r="E63" s="15" t="str">
        <f aca="false">IF($B63="","",SUMIFS(Movimientos!$F$4:$F$303,Movimientos!$B$4:$B$303,$A63,Movimientos!$F$4:$F$303,"&gt;0"))</f>
        <v/>
      </c>
      <c r="F63" s="15" t="str">
        <f aca="false">IF($B63="","",-SUMIFS(Movimientos!$F$4:$F$303,Movimientos!$B$4:$B$303,$A63,Movimientos!$F$4:$F$303,"&lt;0"))</f>
        <v/>
      </c>
      <c r="G63" s="15" t="str">
        <f aca="false">IF($B63="","",N(D63)+E63-F63)</f>
        <v/>
      </c>
      <c r="H63" s="14"/>
      <c r="I63" s="16" t="str">
        <f aca="false">IF($B63="","",IF(G63&lt;=N(H63),"REPONER","OK"))</f>
        <v/>
      </c>
      <c r="J63" s="17"/>
      <c r="K63" s="18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3"/>
      <c r="B64" s="13"/>
      <c r="C64" s="13"/>
      <c r="D64" s="14"/>
      <c r="E64" s="15" t="str">
        <f aca="false">IF($B64="","",SUMIFS(Movimientos!$F$4:$F$303,Movimientos!$B$4:$B$303,$A64,Movimientos!$F$4:$F$303,"&gt;0"))</f>
        <v/>
      </c>
      <c r="F64" s="15" t="str">
        <f aca="false">IF($B64="","",-SUMIFS(Movimientos!$F$4:$F$303,Movimientos!$B$4:$B$303,$A64,Movimientos!$F$4:$F$303,"&lt;0"))</f>
        <v/>
      </c>
      <c r="G64" s="15" t="str">
        <f aca="false">IF($B64="","",N(D64)+E64-F64)</f>
        <v/>
      </c>
      <c r="H64" s="14"/>
      <c r="I64" s="16" t="str">
        <f aca="false">IF($B64="","",IF(G64&lt;=N(H64),"REPONER","OK"))</f>
        <v/>
      </c>
      <c r="J64" s="17"/>
      <c r="K64" s="18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3"/>
      <c r="B65" s="13"/>
      <c r="C65" s="13"/>
      <c r="D65" s="14"/>
      <c r="E65" s="15" t="str">
        <f aca="false">IF($B65="","",SUMIFS(Movimientos!$F$4:$F$303,Movimientos!$B$4:$B$303,$A65,Movimientos!$F$4:$F$303,"&gt;0"))</f>
        <v/>
      </c>
      <c r="F65" s="15" t="str">
        <f aca="false">IF($B65="","",-SUMIFS(Movimientos!$F$4:$F$303,Movimientos!$B$4:$B$303,$A65,Movimientos!$F$4:$F$303,"&lt;0"))</f>
        <v/>
      </c>
      <c r="G65" s="15" t="str">
        <f aca="false">IF($B65="","",N(D65)+E65-F65)</f>
        <v/>
      </c>
      <c r="H65" s="14"/>
      <c r="I65" s="16" t="str">
        <f aca="false">IF($B65="","",IF(G65&lt;=N(H65),"REPONER","OK"))</f>
        <v/>
      </c>
      <c r="J65" s="17"/>
      <c r="K65" s="18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3"/>
      <c r="B66" s="13"/>
      <c r="C66" s="13"/>
      <c r="D66" s="14"/>
      <c r="E66" s="15" t="str">
        <f aca="false">IF($B66="","",SUMIFS(Movimientos!$F$4:$F$303,Movimientos!$B$4:$B$303,$A66,Movimientos!$F$4:$F$303,"&gt;0"))</f>
        <v/>
      </c>
      <c r="F66" s="15" t="str">
        <f aca="false">IF($B66="","",-SUMIFS(Movimientos!$F$4:$F$303,Movimientos!$B$4:$B$303,$A66,Movimientos!$F$4:$F$303,"&lt;0"))</f>
        <v/>
      </c>
      <c r="G66" s="15" t="str">
        <f aca="false">IF($B66="","",N(D66)+E66-F66)</f>
        <v/>
      </c>
      <c r="H66" s="14"/>
      <c r="I66" s="16" t="str">
        <f aca="false">IF($B66="","",IF(G66&lt;=N(H66),"REPONER","OK"))</f>
        <v/>
      </c>
      <c r="J66" s="17"/>
      <c r="K66" s="18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3"/>
      <c r="B67" s="13"/>
      <c r="C67" s="13"/>
      <c r="D67" s="14"/>
      <c r="E67" s="15" t="str">
        <f aca="false">IF($B67="","",SUMIFS(Movimientos!$F$4:$F$303,Movimientos!$B$4:$B$303,$A67,Movimientos!$F$4:$F$303,"&gt;0"))</f>
        <v/>
      </c>
      <c r="F67" s="15" t="str">
        <f aca="false">IF($B67="","",-SUMIFS(Movimientos!$F$4:$F$303,Movimientos!$B$4:$B$303,$A67,Movimientos!$F$4:$F$303,"&lt;0"))</f>
        <v/>
      </c>
      <c r="G67" s="15" t="str">
        <f aca="false">IF($B67="","",N(D67)+E67-F67)</f>
        <v/>
      </c>
      <c r="H67" s="14"/>
      <c r="I67" s="16" t="str">
        <f aca="false">IF($B67="","",IF(G67&lt;=N(H67),"REPONER","OK"))</f>
        <v/>
      </c>
      <c r="J67" s="17"/>
      <c r="K67" s="18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3"/>
      <c r="B68" s="13"/>
      <c r="C68" s="13"/>
      <c r="D68" s="14"/>
      <c r="E68" s="15" t="str">
        <f aca="false">IF($B68="","",SUMIFS(Movimientos!$F$4:$F$303,Movimientos!$B$4:$B$303,$A68,Movimientos!$F$4:$F$303,"&gt;0"))</f>
        <v/>
      </c>
      <c r="F68" s="15" t="str">
        <f aca="false">IF($B68="","",-SUMIFS(Movimientos!$F$4:$F$303,Movimientos!$B$4:$B$303,$A68,Movimientos!$F$4:$F$303,"&lt;0"))</f>
        <v/>
      </c>
      <c r="G68" s="15" t="str">
        <f aca="false">IF($B68="","",N(D68)+E68-F68)</f>
        <v/>
      </c>
      <c r="H68" s="14"/>
      <c r="I68" s="16" t="str">
        <f aca="false">IF($B68="","",IF(G68&lt;=N(H68),"REPONER","OK"))</f>
        <v/>
      </c>
      <c r="J68" s="17"/>
      <c r="K68" s="18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3"/>
      <c r="B69" s="13"/>
      <c r="C69" s="13"/>
      <c r="D69" s="14"/>
      <c r="E69" s="15" t="str">
        <f aca="false">IF($B69="","",SUMIFS(Movimientos!$F$4:$F$303,Movimientos!$B$4:$B$303,$A69,Movimientos!$F$4:$F$303,"&gt;0"))</f>
        <v/>
      </c>
      <c r="F69" s="15" t="str">
        <f aca="false">IF($B69="","",-SUMIFS(Movimientos!$F$4:$F$303,Movimientos!$B$4:$B$303,$A69,Movimientos!$F$4:$F$303,"&lt;0"))</f>
        <v/>
      </c>
      <c r="G69" s="15" t="str">
        <f aca="false">IF($B69="","",N(D69)+E69-F69)</f>
        <v/>
      </c>
      <c r="H69" s="14"/>
      <c r="I69" s="16" t="str">
        <f aca="false">IF($B69="","",IF(G69&lt;=N(H69),"REPONER","OK"))</f>
        <v/>
      </c>
      <c r="J69" s="17"/>
      <c r="K69" s="18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3"/>
      <c r="B70" s="13"/>
      <c r="C70" s="13"/>
      <c r="D70" s="14"/>
      <c r="E70" s="15" t="str">
        <f aca="false">IF($B70="","",SUMIFS(Movimientos!$F$4:$F$303,Movimientos!$B$4:$B$303,$A70,Movimientos!$F$4:$F$303,"&gt;0"))</f>
        <v/>
      </c>
      <c r="F70" s="15" t="str">
        <f aca="false">IF($B70="","",-SUMIFS(Movimientos!$F$4:$F$303,Movimientos!$B$4:$B$303,$A70,Movimientos!$F$4:$F$303,"&lt;0"))</f>
        <v/>
      </c>
      <c r="G70" s="15" t="str">
        <f aca="false">IF($B70="","",N(D70)+E70-F70)</f>
        <v/>
      </c>
      <c r="H70" s="14"/>
      <c r="I70" s="16" t="str">
        <f aca="false">IF($B70="","",IF(G70&lt;=N(H70),"REPONER","OK"))</f>
        <v/>
      </c>
      <c r="J70" s="17"/>
      <c r="K70" s="18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3"/>
      <c r="B71" s="13"/>
      <c r="C71" s="13"/>
      <c r="D71" s="14"/>
      <c r="E71" s="15" t="str">
        <f aca="false">IF($B71="","",SUMIFS(Movimientos!$F$4:$F$303,Movimientos!$B$4:$B$303,$A71,Movimientos!$F$4:$F$303,"&gt;0"))</f>
        <v/>
      </c>
      <c r="F71" s="15" t="str">
        <f aca="false">IF($B71="","",-SUMIFS(Movimientos!$F$4:$F$303,Movimientos!$B$4:$B$303,$A71,Movimientos!$F$4:$F$303,"&lt;0"))</f>
        <v/>
      </c>
      <c r="G71" s="15" t="str">
        <f aca="false">IF($B71="","",N(D71)+E71-F71)</f>
        <v/>
      </c>
      <c r="H71" s="14"/>
      <c r="I71" s="16" t="str">
        <f aca="false">IF($B71="","",IF(G71&lt;=N(H71),"REPONER","OK"))</f>
        <v/>
      </c>
      <c r="J71" s="17"/>
      <c r="K71" s="18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3"/>
      <c r="B72" s="13"/>
      <c r="C72" s="13"/>
      <c r="D72" s="14"/>
      <c r="E72" s="15" t="str">
        <f aca="false">IF($B72="","",SUMIFS(Movimientos!$F$4:$F$303,Movimientos!$B$4:$B$303,$A72,Movimientos!$F$4:$F$303,"&gt;0"))</f>
        <v/>
      </c>
      <c r="F72" s="15" t="str">
        <f aca="false">IF($B72="","",-SUMIFS(Movimientos!$F$4:$F$303,Movimientos!$B$4:$B$303,$A72,Movimientos!$F$4:$F$303,"&lt;0"))</f>
        <v/>
      </c>
      <c r="G72" s="15" t="str">
        <f aca="false">IF($B72="","",N(D72)+E72-F72)</f>
        <v/>
      </c>
      <c r="H72" s="14"/>
      <c r="I72" s="16" t="str">
        <f aca="false">IF($B72="","",IF(G72&lt;=N(H72),"REPONER","OK"))</f>
        <v/>
      </c>
      <c r="J72" s="17"/>
      <c r="K72" s="18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3"/>
      <c r="B73" s="13"/>
      <c r="C73" s="13"/>
      <c r="D73" s="14"/>
      <c r="E73" s="15" t="str">
        <f aca="false">IF($B73="","",SUMIFS(Movimientos!$F$4:$F$303,Movimientos!$B$4:$B$303,$A73,Movimientos!$F$4:$F$303,"&gt;0"))</f>
        <v/>
      </c>
      <c r="F73" s="15" t="str">
        <f aca="false">IF($B73="","",-SUMIFS(Movimientos!$F$4:$F$303,Movimientos!$B$4:$B$303,$A73,Movimientos!$F$4:$F$303,"&lt;0"))</f>
        <v/>
      </c>
      <c r="G73" s="15" t="str">
        <f aca="false">IF($B73="","",N(D73)+E73-F73)</f>
        <v/>
      </c>
      <c r="H73" s="14"/>
      <c r="I73" s="16" t="str">
        <f aca="false">IF($B73="","",IF(G73&lt;=N(H73),"REPONER","OK"))</f>
        <v/>
      </c>
      <c r="J73" s="17"/>
      <c r="K73" s="18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3"/>
      <c r="B74" s="13"/>
      <c r="C74" s="13"/>
      <c r="D74" s="14"/>
      <c r="E74" s="15" t="str">
        <f aca="false">IF($B74="","",SUMIFS(Movimientos!$F$4:$F$303,Movimientos!$B$4:$B$303,$A74,Movimientos!$F$4:$F$303,"&gt;0"))</f>
        <v/>
      </c>
      <c r="F74" s="15" t="str">
        <f aca="false">IF($B74="","",-SUMIFS(Movimientos!$F$4:$F$303,Movimientos!$B$4:$B$303,$A74,Movimientos!$F$4:$F$303,"&lt;0"))</f>
        <v/>
      </c>
      <c r="G74" s="15" t="str">
        <f aca="false">IF($B74="","",N(D74)+E74-F74)</f>
        <v/>
      </c>
      <c r="H74" s="14"/>
      <c r="I74" s="16" t="str">
        <f aca="false">IF($B74="","",IF(G74&lt;=N(H74),"REPONER","OK"))</f>
        <v/>
      </c>
      <c r="J74" s="17"/>
      <c r="K74" s="18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3"/>
      <c r="B75" s="13"/>
      <c r="C75" s="13"/>
      <c r="D75" s="14"/>
      <c r="E75" s="15" t="str">
        <f aca="false">IF($B75="","",SUMIFS(Movimientos!$F$4:$F$303,Movimientos!$B$4:$B$303,$A75,Movimientos!$F$4:$F$303,"&gt;0"))</f>
        <v/>
      </c>
      <c r="F75" s="15" t="str">
        <f aca="false">IF($B75="","",-SUMIFS(Movimientos!$F$4:$F$303,Movimientos!$B$4:$B$303,$A75,Movimientos!$F$4:$F$303,"&lt;0"))</f>
        <v/>
      </c>
      <c r="G75" s="15" t="str">
        <f aca="false">IF($B75="","",N(D75)+E75-F75)</f>
        <v/>
      </c>
      <c r="H75" s="14"/>
      <c r="I75" s="16" t="str">
        <f aca="false">IF($B75="","",IF(G75&lt;=N(H75),"REPONER","OK"))</f>
        <v/>
      </c>
      <c r="J75" s="17"/>
      <c r="K75" s="18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3"/>
      <c r="B76" s="13"/>
      <c r="C76" s="13"/>
      <c r="D76" s="14"/>
      <c r="E76" s="15" t="str">
        <f aca="false">IF($B76="","",SUMIFS(Movimientos!$F$4:$F$303,Movimientos!$B$4:$B$303,$A76,Movimientos!$F$4:$F$303,"&gt;0"))</f>
        <v/>
      </c>
      <c r="F76" s="15" t="str">
        <f aca="false">IF($B76="","",-SUMIFS(Movimientos!$F$4:$F$303,Movimientos!$B$4:$B$303,$A76,Movimientos!$F$4:$F$303,"&lt;0"))</f>
        <v/>
      </c>
      <c r="G76" s="15" t="str">
        <f aca="false">IF($B76="","",N(D76)+E76-F76)</f>
        <v/>
      </c>
      <c r="H76" s="14"/>
      <c r="I76" s="16" t="str">
        <f aca="false">IF($B76="","",IF(G76&lt;=N(H76),"REPONER","OK"))</f>
        <v/>
      </c>
      <c r="J76" s="17"/>
      <c r="K76" s="18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3"/>
      <c r="B77" s="13"/>
      <c r="C77" s="13"/>
      <c r="D77" s="14"/>
      <c r="E77" s="15" t="str">
        <f aca="false">IF($B77="","",SUMIFS(Movimientos!$F$4:$F$303,Movimientos!$B$4:$B$303,$A77,Movimientos!$F$4:$F$303,"&gt;0"))</f>
        <v/>
      </c>
      <c r="F77" s="15" t="str">
        <f aca="false">IF($B77="","",-SUMIFS(Movimientos!$F$4:$F$303,Movimientos!$B$4:$B$303,$A77,Movimientos!$F$4:$F$303,"&lt;0"))</f>
        <v/>
      </c>
      <c r="G77" s="15" t="str">
        <f aca="false">IF($B77="","",N(D77)+E77-F77)</f>
        <v/>
      </c>
      <c r="H77" s="14"/>
      <c r="I77" s="16" t="str">
        <f aca="false">IF($B77="","",IF(G77&lt;=N(H77),"REPONER","OK"))</f>
        <v/>
      </c>
      <c r="J77" s="17"/>
      <c r="K77" s="18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3"/>
      <c r="B78" s="13"/>
      <c r="C78" s="13"/>
      <c r="D78" s="14"/>
      <c r="E78" s="15" t="str">
        <f aca="false">IF($B78="","",SUMIFS(Movimientos!$F$4:$F$303,Movimientos!$B$4:$B$303,$A78,Movimientos!$F$4:$F$303,"&gt;0"))</f>
        <v/>
      </c>
      <c r="F78" s="15" t="str">
        <f aca="false">IF($B78="","",-SUMIFS(Movimientos!$F$4:$F$303,Movimientos!$B$4:$B$303,$A78,Movimientos!$F$4:$F$303,"&lt;0"))</f>
        <v/>
      </c>
      <c r="G78" s="15" t="str">
        <f aca="false">IF($B78="","",N(D78)+E78-F78)</f>
        <v/>
      </c>
      <c r="H78" s="14"/>
      <c r="I78" s="16" t="str">
        <f aca="false">IF($B78="","",IF(G78&lt;=N(H78),"REPONER","OK"))</f>
        <v/>
      </c>
      <c r="J78" s="17"/>
      <c r="K78" s="18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3"/>
      <c r="B79" s="13"/>
      <c r="C79" s="13"/>
      <c r="D79" s="14"/>
      <c r="E79" s="15" t="str">
        <f aca="false">IF($B79="","",SUMIFS(Movimientos!$F$4:$F$303,Movimientos!$B$4:$B$303,$A79,Movimientos!$F$4:$F$303,"&gt;0"))</f>
        <v/>
      </c>
      <c r="F79" s="15" t="str">
        <f aca="false">IF($B79="","",-SUMIFS(Movimientos!$F$4:$F$303,Movimientos!$B$4:$B$303,$A79,Movimientos!$F$4:$F$303,"&lt;0"))</f>
        <v/>
      </c>
      <c r="G79" s="15" t="str">
        <f aca="false">IF($B79="","",N(D79)+E79-F79)</f>
        <v/>
      </c>
      <c r="H79" s="14"/>
      <c r="I79" s="16" t="str">
        <f aca="false">IF($B79="","",IF(G79&lt;=N(H79),"REPONER","OK"))</f>
        <v/>
      </c>
      <c r="J79" s="17"/>
      <c r="K79" s="18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3"/>
      <c r="B80" s="13"/>
      <c r="C80" s="13"/>
      <c r="D80" s="14"/>
      <c r="E80" s="15" t="str">
        <f aca="false">IF($B80="","",SUMIFS(Movimientos!$F$4:$F$303,Movimientos!$B$4:$B$303,$A80,Movimientos!$F$4:$F$303,"&gt;0"))</f>
        <v/>
      </c>
      <c r="F80" s="15" t="str">
        <f aca="false">IF($B80="","",-SUMIFS(Movimientos!$F$4:$F$303,Movimientos!$B$4:$B$303,$A80,Movimientos!$F$4:$F$303,"&lt;0"))</f>
        <v/>
      </c>
      <c r="G80" s="15" t="str">
        <f aca="false">IF($B80="","",N(D80)+E80-F80)</f>
        <v/>
      </c>
      <c r="H80" s="14"/>
      <c r="I80" s="16" t="str">
        <f aca="false">IF($B80="","",IF(G80&lt;=N(H80),"REPONER","OK"))</f>
        <v/>
      </c>
      <c r="J80" s="17"/>
      <c r="K80" s="18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3"/>
      <c r="B81" s="13"/>
      <c r="C81" s="13"/>
      <c r="D81" s="14"/>
      <c r="E81" s="15" t="str">
        <f aca="false">IF($B81="","",SUMIFS(Movimientos!$F$4:$F$303,Movimientos!$B$4:$B$303,$A81,Movimientos!$F$4:$F$303,"&gt;0"))</f>
        <v/>
      </c>
      <c r="F81" s="15" t="str">
        <f aca="false">IF($B81="","",-SUMIFS(Movimientos!$F$4:$F$303,Movimientos!$B$4:$B$303,$A81,Movimientos!$F$4:$F$303,"&lt;0"))</f>
        <v/>
      </c>
      <c r="G81" s="15" t="str">
        <f aca="false">IF($B81="","",N(D81)+E81-F81)</f>
        <v/>
      </c>
      <c r="H81" s="14"/>
      <c r="I81" s="16" t="str">
        <f aca="false">IF($B81="","",IF(G81&lt;=N(H81),"REPONER","OK"))</f>
        <v/>
      </c>
      <c r="J81" s="17"/>
      <c r="K81" s="18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3"/>
      <c r="B82" s="13"/>
      <c r="C82" s="13"/>
      <c r="D82" s="14"/>
      <c r="E82" s="15" t="str">
        <f aca="false">IF($B82="","",SUMIFS(Movimientos!$F$4:$F$303,Movimientos!$B$4:$B$303,$A82,Movimientos!$F$4:$F$303,"&gt;0"))</f>
        <v/>
      </c>
      <c r="F82" s="15" t="str">
        <f aca="false">IF($B82="","",-SUMIFS(Movimientos!$F$4:$F$303,Movimientos!$B$4:$B$303,$A82,Movimientos!$F$4:$F$303,"&lt;0"))</f>
        <v/>
      </c>
      <c r="G82" s="15" t="str">
        <f aca="false">IF($B82="","",N(D82)+E82-F82)</f>
        <v/>
      </c>
      <c r="H82" s="14"/>
      <c r="I82" s="16" t="str">
        <f aca="false">IF($B82="","",IF(G82&lt;=N(H82),"REPONER","OK"))</f>
        <v/>
      </c>
      <c r="J82" s="17"/>
      <c r="K82" s="18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3"/>
      <c r="B83" s="13"/>
      <c r="C83" s="13"/>
      <c r="D83" s="14"/>
      <c r="E83" s="15" t="str">
        <f aca="false">IF($B83="","",SUMIFS(Movimientos!$F$4:$F$303,Movimientos!$B$4:$B$303,$A83,Movimientos!$F$4:$F$303,"&gt;0"))</f>
        <v/>
      </c>
      <c r="F83" s="15" t="str">
        <f aca="false">IF($B83="","",-SUMIFS(Movimientos!$F$4:$F$303,Movimientos!$B$4:$B$303,$A83,Movimientos!$F$4:$F$303,"&lt;0"))</f>
        <v/>
      </c>
      <c r="G83" s="15" t="str">
        <f aca="false">IF($B83="","",N(D83)+E83-F83)</f>
        <v/>
      </c>
      <c r="H83" s="14"/>
      <c r="I83" s="16" t="str">
        <f aca="false">IF($B83="","",IF(G83&lt;=N(H83),"REPONER","OK"))</f>
        <v/>
      </c>
      <c r="J83" s="17"/>
      <c r="K83" s="18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3"/>
      <c r="B84" s="13"/>
      <c r="C84" s="13"/>
      <c r="D84" s="14"/>
      <c r="E84" s="15" t="str">
        <f aca="false">IF($B84="","",SUMIFS(Movimientos!$F$4:$F$303,Movimientos!$B$4:$B$303,$A84,Movimientos!$F$4:$F$303,"&gt;0"))</f>
        <v/>
      </c>
      <c r="F84" s="15" t="str">
        <f aca="false">IF($B84="","",-SUMIFS(Movimientos!$F$4:$F$303,Movimientos!$B$4:$B$303,$A84,Movimientos!$F$4:$F$303,"&lt;0"))</f>
        <v/>
      </c>
      <c r="G84" s="15" t="str">
        <f aca="false">IF($B84="","",N(D84)+E84-F84)</f>
        <v/>
      </c>
      <c r="H84" s="14"/>
      <c r="I84" s="16" t="str">
        <f aca="false">IF($B84="","",IF(G84&lt;=N(H84),"REPONER","OK"))</f>
        <v/>
      </c>
      <c r="J84" s="17"/>
      <c r="K84" s="18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3"/>
      <c r="B85" s="13"/>
      <c r="C85" s="13"/>
      <c r="D85" s="14"/>
      <c r="E85" s="15" t="str">
        <f aca="false">IF($B85="","",SUMIFS(Movimientos!$F$4:$F$303,Movimientos!$B$4:$B$303,$A85,Movimientos!$F$4:$F$303,"&gt;0"))</f>
        <v/>
      </c>
      <c r="F85" s="15" t="str">
        <f aca="false">IF($B85="","",-SUMIFS(Movimientos!$F$4:$F$303,Movimientos!$B$4:$B$303,$A85,Movimientos!$F$4:$F$303,"&lt;0"))</f>
        <v/>
      </c>
      <c r="G85" s="15" t="str">
        <f aca="false">IF($B85="","",N(D85)+E85-F85)</f>
        <v/>
      </c>
      <c r="H85" s="14"/>
      <c r="I85" s="16" t="str">
        <f aca="false">IF($B85="","",IF(G85&lt;=N(H85),"REPONER","OK"))</f>
        <v/>
      </c>
      <c r="J85" s="17"/>
      <c r="K85" s="18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3"/>
      <c r="B86" s="13"/>
      <c r="C86" s="13"/>
      <c r="D86" s="14"/>
      <c r="E86" s="15" t="str">
        <f aca="false">IF($B86="","",SUMIFS(Movimientos!$F$4:$F$303,Movimientos!$B$4:$B$303,$A86,Movimientos!$F$4:$F$303,"&gt;0"))</f>
        <v/>
      </c>
      <c r="F86" s="15" t="str">
        <f aca="false">IF($B86="","",-SUMIFS(Movimientos!$F$4:$F$303,Movimientos!$B$4:$B$303,$A86,Movimientos!$F$4:$F$303,"&lt;0"))</f>
        <v/>
      </c>
      <c r="G86" s="15" t="str">
        <f aca="false">IF($B86="","",N(D86)+E86-F86)</f>
        <v/>
      </c>
      <c r="H86" s="14"/>
      <c r="I86" s="16" t="str">
        <f aca="false">IF($B86="","",IF(G86&lt;=N(H86),"REPONER","OK"))</f>
        <v/>
      </c>
      <c r="J86" s="17"/>
      <c r="K86" s="18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3"/>
      <c r="B87" s="13"/>
      <c r="C87" s="13"/>
      <c r="D87" s="14"/>
      <c r="E87" s="15" t="str">
        <f aca="false">IF($B87="","",SUMIFS(Movimientos!$F$4:$F$303,Movimientos!$B$4:$B$303,$A87,Movimientos!$F$4:$F$303,"&gt;0"))</f>
        <v/>
      </c>
      <c r="F87" s="15" t="str">
        <f aca="false">IF($B87="","",-SUMIFS(Movimientos!$F$4:$F$303,Movimientos!$B$4:$B$303,$A87,Movimientos!$F$4:$F$303,"&lt;0"))</f>
        <v/>
      </c>
      <c r="G87" s="15" t="str">
        <f aca="false">IF($B87="","",N(D87)+E87-F87)</f>
        <v/>
      </c>
      <c r="H87" s="14"/>
      <c r="I87" s="16" t="str">
        <f aca="false">IF($B87="","",IF(G87&lt;=N(H87),"REPONER","OK"))</f>
        <v/>
      </c>
      <c r="J87" s="17"/>
      <c r="K87" s="18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3"/>
      <c r="B88" s="13"/>
      <c r="C88" s="13"/>
      <c r="D88" s="14"/>
      <c r="E88" s="15" t="str">
        <f aca="false">IF($B88="","",SUMIFS(Movimientos!$F$4:$F$303,Movimientos!$B$4:$B$303,$A88,Movimientos!$F$4:$F$303,"&gt;0"))</f>
        <v/>
      </c>
      <c r="F88" s="15" t="str">
        <f aca="false">IF($B88="","",-SUMIFS(Movimientos!$F$4:$F$303,Movimientos!$B$4:$B$303,$A88,Movimientos!$F$4:$F$303,"&lt;0"))</f>
        <v/>
      </c>
      <c r="G88" s="15" t="str">
        <f aca="false">IF($B88="","",N(D88)+E88-F88)</f>
        <v/>
      </c>
      <c r="H88" s="14"/>
      <c r="I88" s="16" t="str">
        <f aca="false">IF($B88="","",IF(G88&lt;=N(H88),"REPONER","OK"))</f>
        <v/>
      </c>
      <c r="J88" s="17"/>
      <c r="K88" s="18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3"/>
      <c r="B89" s="13"/>
      <c r="C89" s="13"/>
      <c r="D89" s="14"/>
      <c r="E89" s="15" t="str">
        <f aca="false">IF($B89="","",SUMIFS(Movimientos!$F$4:$F$303,Movimientos!$B$4:$B$303,$A89,Movimientos!$F$4:$F$303,"&gt;0"))</f>
        <v/>
      </c>
      <c r="F89" s="15" t="str">
        <f aca="false">IF($B89="","",-SUMIFS(Movimientos!$F$4:$F$303,Movimientos!$B$4:$B$303,$A89,Movimientos!$F$4:$F$303,"&lt;0"))</f>
        <v/>
      </c>
      <c r="G89" s="15" t="str">
        <f aca="false">IF($B89="","",N(D89)+E89-F89)</f>
        <v/>
      </c>
      <c r="H89" s="14"/>
      <c r="I89" s="16" t="str">
        <f aca="false">IF($B89="","",IF(G89&lt;=N(H89),"REPONER","OK"))</f>
        <v/>
      </c>
      <c r="J89" s="17"/>
      <c r="K89" s="18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3"/>
      <c r="B90" s="13"/>
      <c r="C90" s="13"/>
      <c r="D90" s="14"/>
      <c r="E90" s="15" t="str">
        <f aca="false">IF($B90="","",SUMIFS(Movimientos!$F$4:$F$303,Movimientos!$B$4:$B$303,$A90,Movimientos!$F$4:$F$303,"&gt;0"))</f>
        <v/>
      </c>
      <c r="F90" s="15" t="str">
        <f aca="false">IF($B90="","",-SUMIFS(Movimientos!$F$4:$F$303,Movimientos!$B$4:$B$303,$A90,Movimientos!$F$4:$F$303,"&lt;0"))</f>
        <v/>
      </c>
      <c r="G90" s="15" t="str">
        <f aca="false">IF($B90="","",N(D90)+E90-F90)</f>
        <v/>
      </c>
      <c r="H90" s="14"/>
      <c r="I90" s="16" t="str">
        <f aca="false">IF($B90="","",IF(G90&lt;=N(H90),"REPONER","OK"))</f>
        <v/>
      </c>
      <c r="J90" s="17"/>
      <c r="K90" s="18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3"/>
      <c r="B91" s="13"/>
      <c r="C91" s="13"/>
      <c r="D91" s="14"/>
      <c r="E91" s="15" t="str">
        <f aca="false">IF($B91="","",SUMIFS(Movimientos!$F$4:$F$303,Movimientos!$B$4:$B$303,$A91,Movimientos!$F$4:$F$303,"&gt;0"))</f>
        <v/>
      </c>
      <c r="F91" s="15" t="str">
        <f aca="false">IF($B91="","",-SUMIFS(Movimientos!$F$4:$F$303,Movimientos!$B$4:$B$303,$A91,Movimientos!$F$4:$F$303,"&lt;0"))</f>
        <v/>
      </c>
      <c r="G91" s="15" t="str">
        <f aca="false">IF($B91="","",N(D91)+E91-F91)</f>
        <v/>
      </c>
      <c r="H91" s="14"/>
      <c r="I91" s="16" t="str">
        <f aca="false">IF($B91="","",IF(G91&lt;=N(H91),"REPONER","OK"))</f>
        <v/>
      </c>
      <c r="J91" s="17"/>
      <c r="K91" s="18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3"/>
      <c r="B92" s="13"/>
      <c r="C92" s="13"/>
      <c r="D92" s="14"/>
      <c r="E92" s="15" t="str">
        <f aca="false">IF($B92="","",SUMIFS(Movimientos!$F$4:$F$303,Movimientos!$B$4:$B$303,$A92,Movimientos!$F$4:$F$303,"&gt;0"))</f>
        <v/>
      </c>
      <c r="F92" s="15" t="str">
        <f aca="false">IF($B92="","",-SUMIFS(Movimientos!$F$4:$F$303,Movimientos!$B$4:$B$303,$A92,Movimientos!$F$4:$F$303,"&lt;0"))</f>
        <v/>
      </c>
      <c r="G92" s="15" t="str">
        <f aca="false">IF($B92="","",N(D92)+E92-F92)</f>
        <v/>
      </c>
      <c r="H92" s="14"/>
      <c r="I92" s="16" t="str">
        <f aca="false">IF($B92="","",IF(G92&lt;=N(H92),"REPONER","OK"))</f>
        <v/>
      </c>
      <c r="J92" s="17"/>
      <c r="K92" s="18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3"/>
      <c r="B93" s="13"/>
      <c r="C93" s="13"/>
      <c r="D93" s="14"/>
      <c r="E93" s="15" t="str">
        <f aca="false">IF($B93="","",SUMIFS(Movimientos!$F$4:$F$303,Movimientos!$B$4:$B$303,$A93,Movimientos!$F$4:$F$303,"&gt;0"))</f>
        <v/>
      </c>
      <c r="F93" s="15" t="str">
        <f aca="false">IF($B93="","",-SUMIFS(Movimientos!$F$4:$F$303,Movimientos!$B$4:$B$303,$A93,Movimientos!$F$4:$F$303,"&lt;0"))</f>
        <v/>
      </c>
      <c r="G93" s="15" t="str">
        <f aca="false">IF($B93="","",N(D93)+E93-F93)</f>
        <v/>
      </c>
      <c r="H93" s="14"/>
      <c r="I93" s="16" t="str">
        <f aca="false">IF($B93="","",IF(G93&lt;=N(H93),"REPONER","OK"))</f>
        <v/>
      </c>
      <c r="J93" s="17"/>
      <c r="K93" s="18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3"/>
      <c r="B94" s="13"/>
      <c r="C94" s="13"/>
      <c r="D94" s="14"/>
      <c r="E94" s="15" t="str">
        <f aca="false">IF($B94="","",SUMIFS(Movimientos!$F$4:$F$303,Movimientos!$B$4:$B$303,$A94,Movimientos!$F$4:$F$303,"&gt;0"))</f>
        <v/>
      </c>
      <c r="F94" s="15" t="str">
        <f aca="false">IF($B94="","",-SUMIFS(Movimientos!$F$4:$F$303,Movimientos!$B$4:$B$303,$A94,Movimientos!$F$4:$F$303,"&lt;0"))</f>
        <v/>
      </c>
      <c r="G94" s="15" t="str">
        <f aca="false">IF($B94="","",N(D94)+E94-F94)</f>
        <v/>
      </c>
      <c r="H94" s="14"/>
      <c r="I94" s="16" t="str">
        <f aca="false">IF($B94="","",IF(G94&lt;=N(H94),"REPONER","OK"))</f>
        <v/>
      </c>
      <c r="J94" s="17"/>
      <c r="K94" s="18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3"/>
      <c r="B95" s="13"/>
      <c r="C95" s="13"/>
      <c r="D95" s="14"/>
      <c r="E95" s="15" t="str">
        <f aca="false">IF($B95="","",SUMIFS(Movimientos!$F$4:$F$303,Movimientos!$B$4:$B$303,$A95,Movimientos!$F$4:$F$303,"&gt;0"))</f>
        <v/>
      </c>
      <c r="F95" s="15" t="str">
        <f aca="false">IF($B95="","",-SUMIFS(Movimientos!$F$4:$F$303,Movimientos!$B$4:$B$303,$A95,Movimientos!$F$4:$F$303,"&lt;0"))</f>
        <v/>
      </c>
      <c r="G95" s="15" t="str">
        <f aca="false">IF($B95="","",N(D95)+E95-F95)</f>
        <v/>
      </c>
      <c r="H95" s="14"/>
      <c r="I95" s="16" t="str">
        <f aca="false">IF($B95="","",IF(G95&lt;=N(H95),"REPONER","OK"))</f>
        <v/>
      </c>
      <c r="J95" s="17"/>
      <c r="K95" s="18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3"/>
      <c r="B96" s="13"/>
      <c r="C96" s="13"/>
      <c r="D96" s="14"/>
      <c r="E96" s="15" t="str">
        <f aca="false">IF($B96="","",SUMIFS(Movimientos!$F$4:$F$303,Movimientos!$B$4:$B$303,$A96,Movimientos!$F$4:$F$303,"&gt;0"))</f>
        <v/>
      </c>
      <c r="F96" s="15" t="str">
        <f aca="false">IF($B96="","",-SUMIFS(Movimientos!$F$4:$F$303,Movimientos!$B$4:$B$303,$A96,Movimientos!$F$4:$F$303,"&lt;0"))</f>
        <v/>
      </c>
      <c r="G96" s="15" t="str">
        <f aca="false">IF($B96="","",N(D96)+E96-F96)</f>
        <v/>
      </c>
      <c r="H96" s="14"/>
      <c r="I96" s="16" t="str">
        <f aca="false">IF($B96="","",IF(G96&lt;=N(H96),"REPONER","OK"))</f>
        <v/>
      </c>
      <c r="J96" s="17"/>
      <c r="K96" s="18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3"/>
      <c r="B97" s="13"/>
      <c r="C97" s="13"/>
      <c r="D97" s="14"/>
      <c r="E97" s="15" t="str">
        <f aca="false">IF($B97="","",SUMIFS(Movimientos!$F$4:$F$303,Movimientos!$B$4:$B$303,$A97,Movimientos!$F$4:$F$303,"&gt;0"))</f>
        <v/>
      </c>
      <c r="F97" s="15" t="str">
        <f aca="false">IF($B97="","",-SUMIFS(Movimientos!$F$4:$F$303,Movimientos!$B$4:$B$303,$A97,Movimientos!$F$4:$F$303,"&lt;0"))</f>
        <v/>
      </c>
      <c r="G97" s="15" t="str">
        <f aca="false">IF($B97="","",N(D97)+E97-F97)</f>
        <v/>
      </c>
      <c r="H97" s="14"/>
      <c r="I97" s="16" t="str">
        <f aca="false">IF($B97="","",IF(G97&lt;=N(H97),"REPONER","OK"))</f>
        <v/>
      </c>
      <c r="J97" s="17"/>
      <c r="K97" s="18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3"/>
      <c r="B98" s="13"/>
      <c r="C98" s="13"/>
      <c r="D98" s="14"/>
      <c r="E98" s="15" t="str">
        <f aca="false">IF($B98="","",SUMIFS(Movimientos!$F$4:$F$303,Movimientos!$B$4:$B$303,$A98,Movimientos!$F$4:$F$303,"&gt;0"))</f>
        <v/>
      </c>
      <c r="F98" s="15" t="str">
        <f aca="false">IF($B98="","",-SUMIFS(Movimientos!$F$4:$F$303,Movimientos!$B$4:$B$303,$A98,Movimientos!$F$4:$F$303,"&lt;0"))</f>
        <v/>
      </c>
      <c r="G98" s="15" t="str">
        <f aca="false">IF($B98="","",N(D98)+E98-F98)</f>
        <v/>
      </c>
      <c r="H98" s="14"/>
      <c r="I98" s="16" t="str">
        <f aca="false">IF($B98="","",IF(G98&lt;=N(H98),"REPONER","OK"))</f>
        <v/>
      </c>
      <c r="J98" s="17"/>
      <c r="K98" s="18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3"/>
      <c r="B99" s="13"/>
      <c r="C99" s="13"/>
      <c r="D99" s="14"/>
      <c r="E99" s="15" t="str">
        <f aca="false">IF($B99="","",SUMIFS(Movimientos!$F$4:$F$303,Movimientos!$B$4:$B$303,$A99,Movimientos!$F$4:$F$303,"&gt;0"))</f>
        <v/>
      </c>
      <c r="F99" s="15" t="str">
        <f aca="false">IF($B99="","",-SUMIFS(Movimientos!$F$4:$F$303,Movimientos!$B$4:$B$303,$A99,Movimientos!$F$4:$F$303,"&lt;0"))</f>
        <v/>
      </c>
      <c r="G99" s="15" t="str">
        <f aca="false">IF($B99="","",N(D99)+E99-F99)</f>
        <v/>
      </c>
      <c r="H99" s="14"/>
      <c r="I99" s="16" t="str">
        <f aca="false">IF($B99="","",IF(G99&lt;=N(H99),"REPONER","OK"))</f>
        <v/>
      </c>
      <c r="J99" s="17"/>
      <c r="K99" s="18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3"/>
      <c r="B100" s="13"/>
      <c r="C100" s="13"/>
      <c r="D100" s="14"/>
      <c r="E100" s="15" t="str">
        <f aca="false">IF($B100="","",SUMIFS(Movimientos!$F$4:$F$303,Movimientos!$B$4:$B$303,$A100,Movimientos!$F$4:$F$303,"&gt;0"))</f>
        <v/>
      </c>
      <c r="F100" s="15" t="str">
        <f aca="false">IF($B100="","",-SUMIFS(Movimientos!$F$4:$F$303,Movimientos!$B$4:$B$303,$A100,Movimientos!$F$4:$F$303,"&lt;0"))</f>
        <v/>
      </c>
      <c r="G100" s="15" t="str">
        <f aca="false">IF($B100="","",N(D100)+E100-F100)</f>
        <v/>
      </c>
      <c r="H100" s="14"/>
      <c r="I100" s="16" t="str">
        <f aca="false">IF($B100="","",IF(G100&lt;=N(H100),"REPONER","OK"))</f>
        <v/>
      </c>
      <c r="J100" s="17"/>
      <c r="K100" s="18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3"/>
      <c r="B101" s="13"/>
      <c r="C101" s="13"/>
      <c r="D101" s="14"/>
      <c r="E101" s="15" t="str">
        <f aca="false">IF($B101="","",SUMIFS(Movimientos!$F$4:$F$303,Movimientos!$B$4:$B$303,$A101,Movimientos!$F$4:$F$303,"&gt;0"))</f>
        <v/>
      </c>
      <c r="F101" s="15" t="str">
        <f aca="false">IF($B101="","",-SUMIFS(Movimientos!$F$4:$F$303,Movimientos!$B$4:$B$303,$A101,Movimientos!$F$4:$F$303,"&lt;0"))</f>
        <v/>
      </c>
      <c r="G101" s="15" t="str">
        <f aca="false">IF($B101="","",N(D101)+E101-F101)</f>
        <v/>
      </c>
      <c r="H101" s="14"/>
      <c r="I101" s="16" t="str">
        <f aca="false">IF($B101="","",IF(G101&lt;=N(H101),"REPONER","OK"))</f>
        <v/>
      </c>
      <c r="J101" s="17"/>
      <c r="K101" s="18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3"/>
      <c r="B102" s="13"/>
      <c r="C102" s="13"/>
      <c r="D102" s="14"/>
      <c r="E102" s="15" t="str">
        <f aca="false">IF($B102="","",SUMIFS(Movimientos!$F$4:$F$303,Movimientos!$B$4:$B$303,$A102,Movimientos!$F$4:$F$303,"&gt;0"))</f>
        <v/>
      </c>
      <c r="F102" s="15" t="str">
        <f aca="false">IF($B102="","",-SUMIFS(Movimientos!$F$4:$F$303,Movimientos!$B$4:$B$303,$A102,Movimientos!$F$4:$F$303,"&lt;0"))</f>
        <v/>
      </c>
      <c r="G102" s="15" t="str">
        <f aca="false">IF($B102="","",N(D102)+E102-F102)</f>
        <v/>
      </c>
      <c r="H102" s="14"/>
      <c r="I102" s="16" t="str">
        <f aca="false">IF($B102="","",IF(G102&lt;=N(H102),"REPONER","OK"))</f>
        <v/>
      </c>
      <c r="J102" s="17"/>
      <c r="K102" s="18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3"/>
      <c r="B103" s="13"/>
      <c r="C103" s="13"/>
      <c r="D103" s="14"/>
      <c r="E103" s="15" t="str">
        <f aca="false">IF($B103="","",SUMIFS(Movimientos!$F$4:$F$303,Movimientos!$B$4:$B$303,$A103,Movimientos!$F$4:$F$303,"&gt;0"))</f>
        <v/>
      </c>
      <c r="F103" s="15" t="str">
        <f aca="false">IF($B103="","",-SUMIFS(Movimientos!$F$4:$F$303,Movimientos!$B$4:$B$303,$A103,Movimientos!$F$4:$F$303,"&lt;0"))</f>
        <v/>
      </c>
      <c r="G103" s="15" t="str">
        <f aca="false">IF($B103="","",N(D103)+E103-F103)</f>
        <v/>
      </c>
      <c r="H103" s="14"/>
      <c r="I103" s="16" t="str">
        <f aca="false">IF($B103="","",IF(G103&lt;=N(H103),"REPONER","OK"))</f>
        <v/>
      </c>
      <c r="J103" s="17"/>
      <c r="K103" s="18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3"/>
      <c r="B104" s="13"/>
      <c r="C104" s="13"/>
      <c r="D104" s="14"/>
      <c r="E104" s="15" t="str">
        <f aca="false">IF($B104="","",SUMIFS(Movimientos!$F$4:$F$303,Movimientos!$B$4:$B$303,$A104,Movimientos!$F$4:$F$303,"&gt;0"))</f>
        <v/>
      </c>
      <c r="F104" s="15" t="str">
        <f aca="false">IF($B104="","",-SUMIFS(Movimientos!$F$4:$F$303,Movimientos!$B$4:$B$303,$A104,Movimientos!$F$4:$F$303,"&lt;0"))</f>
        <v/>
      </c>
      <c r="G104" s="15" t="str">
        <f aca="false">IF($B104="","",N(D104)+E104-F104)</f>
        <v/>
      </c>
      <c r="H104" s="14"/>
      <c r="I104" s="16" t="str">
        <f aca="false">IF($B104="","",IF(G104&lt;=N(H104),"REPONER","OK"))</f>
        <v/>
      </c>
      <c r="J104" s="17"/>
      <c r="K104" s="18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3"/>
      <c r="B105" s="13"/>
      <c r="C105" s="13"/>
      <c r="D105" s="14"/>
      <c r="E105" s="15" t="str">
        <f aca="false">IF($B105="","",SUMIFS(Movimientos!$F$4:$F$303,Movimientos!$B$4:$B$303,$A105,Movimientos!$F$4:$F$303,"&gt;0"))</f>
        <v/>
      </c>
      <c r="F105" s="15" t="str">
        <f aca="false">IF($B105="","",-SUMIFS(Movimientos!$F$4:$F$303,Movimientos!$B$4:$B$303,$A105,Movimientos!$F$4:$F$303,"&lt;0"))</f>
        <v/>
      </c>
      <c r="G105" s="15" t="str">
        <f aca="false">IF($B105="","",N(D105)+E105-F105)</f>
        <v/>
      </c>
      <c r="H105" s="14"/>
      <c r="I105" s="16" t="str">
        <f aca="false">IF($B105="","",IF(G105&lt;=N(H105),"REPONER","OK"))</f>
        <v/>
      </c>
      <c r="J105" s="17"/>
      <c r="K105" s="18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3"/>
      <c r="B106" s="13"/>
      <c r="C106" s="13"/>
      <c r="D106" s="14"/>
      <c r="E106" s="15" t="str">
        <f aca="false">IF($B106="","",SUMIFS(Movimientos!$F$4:$F$303,Movimientos!$B$4:$B$303,$A106,Movimientos!$F$4:$F$303,"&gt;0"))</f>
        <v/>
      </c>
      <c r="F106" s="15" t="str">
        <f aca="false">IF($B106="","",-SUMIFS(Movimientos!$F$4:$F$303,Movimientos!$B$4:$B$303,$A106,Movimientos!$F$4:$F$303,"&lt;0"))</f>
        <v/>
      </c>
      <c r="G106" s="15" t="str">
        <f aca="false">IF($B106="","",N(D106)+E106-F106)</f>
        <v/>
      </c>
      <c r="H106" s="14"/>
      <c r="I106" s="16" t="str">
        <f aca="false">IF($B106="","",IF(G106&lt;=N(H106),"REPONER","OK"))</f>
        <v/>
      </c>
      <c r="J106" s="17"/>
      <c r="K106" s="18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3"/>
      <c r="B107" s="13"/>
      <c r="C107" s="13"/>
      <c r="D107" s="14"/>
      <c r="E107" s="15" t="str">
        <f aca="false">IF($B107="","",SUMIFS(Movimientos!$F$4:$F$303,Movimientos!$B$4:$B$303,$A107,Movimientos!$F$4:$F$303,"&gt;0"))</f>
        <v/>
      </c>
      <c r="F107" s="15" t="str">
        <f aca="false">IF($B107="","",-SUMIFS(Movimientos!$F$4:$F$303,Movimientos!$B$4:$B$303,$A107,Movimientos!$F$4:$F$303,"&lt;0"))</f>
        <v/>
      </c>
      <c r="G107" s="15" t="str">
        <f aca="false">IF($B107="","",N(D107)+E107-F107)</f>
        <v/>
      </c>
      <c r="H107" s="14"/>
      <c r="I107" s="16" t="str">
        <f aca="false">IF($B107="","",IF(G107&lt;=N(H107),"REPONER","OK"))</f>
        <v/>
      </c>
      <c r="J107" s="17"/>
      <c r="K107" s="18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3"/>
      <c r="B108" s="13"/>
      <c r="C108" s="13"/>
      <c r="D108" s="14"/>
      <c r="E108" s="15" t="str">
        <f aca="false">IF($B108="","",SUMIFS(Movimientos!$F$4:$F$303,Movimientos!$B$4:$B$303,$A108,Movimientos!$F$4:$F$303,"&gt;0"))</f>
        <v/>
      </c>
      <c r="F108" s="15" t="str">
        <f aca="false">IF($B108="","",-SUMIFS(Movimientos!$F$4:$F$303,Movimientos!$B$4:$B$303,$A108,Movimientos!$F$4:$F$303,"&lt;0"))</f>
        <v/>
      </c>
      <c r="G108" s="15" t="str">
        <f aca="false">IF($B108="","",N(D108)+E108-F108)</f>
        <v/>
      </c>
      <c r="H108" s="14"/>
      <c r="I108" s="16" t="str">
        <f aca="false">IF($B108="","",IF(G108&lt;=N(H108),"REPONER","OK"))</f>
        <v/>
      </c>
      <c r="J108" s="17"/>
      <c r="K108" s="18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3"/>
      <c r="B109" s="13"/>
      <c r="C109" s="13"/>
      <c r="D109" s="14"/>
      <c r="E109" s="15" t="str">
        <f aca="false">IF($B109="","",SUMIFS(Movimientos!$F$4:$F$303,Movimientos!$B$4:$B$303,$A109,Movimientos!$F$4:$F$303,"&gt;0"))</f>
        <v/>
      </c>
      <c r="F109" s="15" t="str">
        <f aca="false">IF($B109="","",-SUMIFS(Movimientos!$F$4:$F$303,Movimientos!$B$4:$B$303,$A109,Movimientos!$F$4:$F$303,"&lt;0"))</f>
        <v/>
      </c>
      <c r="G109" s="15" t="str">
        <f aca="false">IF($B109="","",N(D109)+E109-F109)</f>
        <v/>
      </c>
      <c r="H109" s="14"/>
      <c r="I109" s="16" t="str">
        <f aca="false">IF($B109="","",IF(G109&lt;=N(H109),"REPONER","OK"))</f>
        <v/>
      </c>
      <c r="J109" s="17"/>
      <c r="K109" s="18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3"/>
      <c r="B110" s="13"/>
      <c r="C110" s="13"/>
      <c r="D110" s="14"/>
      <c r="E110" s="15" t="str">
        <f aca="false">IF($B110="","",SUMIFS(Movimientos!$F$4:$F$303,Movimientos!$B$4:$B$303,$A110,Movimientos!$F$4:$F$303,"&gt;0"))</f>
        <v/>
      </c>
      <c r="F110" s="15" t="str">
        <f aca="false">IF($B110="","",-SUMIFS(Movimientos!$F$4:$F$303,Movimientos!$B$4:$B$303,$A110,Movimientos!$F$4:$F$303,"&lt;0"))</f>
        <v/>
      </c>
      <c r="G110" s="15" t="str">
        <f aca="false">IF($B110="","",N(D110)+E110-F110)</f>
        <v/>
      </c>
      <c r="H110" s="14"/>
      <c r="I110" s="16" t="str">
        <f aca="false">IF($B110="","",IF(G110&lt;=N(H110),"REPONER","OK"))</f>
        <v/>
      </c>
      <c r="J110" s="17"/>
      <c r="K110" s="18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3"/>
      <c r="B111" s="13"/>
      <c r="C111" s="13"/>
      <c r="D111" s="14"/>
      <c r="E111" s="15" t="str">
        <f aca="false">IF($B111="","",SUMIFS(Movimientos!$F$4:$F$303,Movimientos!$B$4:$B$303,$A111,Movimientos!$F$4:$F$303,"&gt;0"))</f>
        <v/>
      </c>
      <c r="F111" s="15" t="str">
        <f aca="false">IF($B111="","",-SUMIFS(Movimientos!$F$4:$F$303,Movimientos!$B$4:$B$303,$A111,Movimientos!$F$4:$F$303,"&lt;0"))</f>
        <v/>
      </c>
      <c r="G111" s="15" t="str">
        <f aca="false">IF($B111="","",N(D111)+E111-F111)</f>
        <v/>
      </c>
      <c r="H111" s="14"/>
      <c r="I111" s="16" t="str">
        <f aca="false">IF($B111="","",IF(G111&lt;=N(H111),"REPONER","OK"))</f>
        <v/>
      </c>
      <c r="J111" s="17"/>
      <c r="K111" s="18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3"/>
      <c r="B112" s="13"/>
      <c r="C112" s="13"/>
      <c r="D112" s="14"/>
      <c r="E112" s="15" t="str">
        <f aca="false">IF($B112="","",SUMIFS(Movimientos!$F$4:$F$303,Movimientos!$B$4:$B$303,$A112,Movimientos!$F$4:$F$303,"&gt;0"))</f>
        <v/>
      </c>
      <c r="F112" s="15" t="str">
        <f aca="false">IF($B112="","",-SUMIFS(Movimientos!$F$4:$F$303,Movimientos!$B$4:$B$303,$A112,Movimientos!$F$4:$F$303,"&lt;0"))</f>
        <v/>
      </c>
      <c r="G112" s="15" t="str">
        <f aca="false">IF($B112="","",N(D112)+E112-F112)</f>
        <v/>
      </c>
      <c r="H112" s="14"/>
      <c r="I112" s="16" t="str">
        <f aca="false">IF($B112="","",IF(G112&lt;=N(H112),"REPONER","OK"))</f>
        <v/>
      </c>
      <c r="J112" s="17"/>
      <c r="K112" s="18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3"/>
      <c r="B113" s="13"/>
      <c r="C113" s="13"/>
      <c r="D113" s="14"/>
      <c r="E113" s="15" t="str">
        <f aca="false">IF($B113="","",SUMIFS(Movimientos!$F$4:$F$303,Movimientos!$B$4:$B$303,$A113,Movimientos!$F$4:$F$303,"&gt;0"))</f>
        <v/>
      </c>
      <c r="F113" s="15" t="str">
        <f aca="false">IF($B113="","",-SUMIFS(Movimientos!$F$4:$F$303,Movimientos!$B$4:$B$303,$A113,Movimientos!$F$4:$F$303,"&lt;0"))</f>
        <v/>
      </c>
      <c r="G113" s="15" t="str">
        <f aca="false">IF($B113="","",N(D113)+E113-F113)</f>
        <v/>
      </c>
      <c r="H113" s="14"/>
      <c r="I113" s="16" t="str">
        <f aca="false">IF($B113="","",IF(G113&lt;=N(H113),"REPONER","OK"))</f>
        <v/>
      </c>
      <c r="J113" s="17"/>
      <c r="K113" s="18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3"/>
      <c r="B114" s="13"/>
      <c r="C114" s="13"/>
      <c r="D114" s="14"/>
      <c r="E114" s="15" t="str">
        <f aca="false">IF($B114="","",SUMIFS(Movimientos!$F$4:$F$303,Movimientos!$B$4:$B$303,$A114,Movimientos!$F$4:$F$303,"&gt;0"))</f>
        <v/>
      </c>
      <c r="F114" s="15" t="str">
        <f aca="false">IF($B114="","",-SUMIFS(Movimientos!$F$4:$F$303,Movimientos!$B$4:$B$303,$A114,Movimientos!$F$4:$F$303,"&lt;0"))</f>
        <v/>
      </c>
      <c r="G114" s="15" t="str">
        <f aca="false">IF($B114="","",N(D114)+E114-F114)</f>
        <v/>
      </c>
      <c r="H114" s="14"/>
      <c r="I114" s="16" t="str">
        <f aca="false">IF($B114="","",IF(G114&lt;=N(H114),"REPONER","OK"))</f>
        <v/>
      </c>
      <c r="J114" s="17"/>
      <c r="K114" s="18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3"/>
      <c r="B115" s="13"/>
      <c r="C115" s="13"/>
      <c r="D115" s="14"/>
      <c r="E115" s="15" t="str">
        <f aca="false">IF($B115="","",SUMIFS(Movimientos!$F$4:$F$303,Movimientos!$B$4:$B$303,$A115,Movimientos!$F$4:$F$303,"&gt;0"))</f>
        <v/>
      </c>
      <c r="F115" s="15" t="str">
        <f aca="false">IF($B115="","",-SUMIFS(Movimientos!$F$4:$F$303,Movimientos!$B$4:$B$303,$A115,Movimientos!$F$4:$F$303,"&lt;0"))</f>
        <v/>
      </c>
      <c r="G115" s="15" t="str">
        <f aca="false">IF($B115="","",N(D115)+E115-F115)</f>
        <v/>
      </c>
      <c r="H115" s="14"/>
      <c r="I115" s="16" t="str">
        <f aca="false">IF($B115="","",IF(G115&lt;=N(H115),"REPONER","OK"))</f>
        <v/>
      </c>
      <c r="J115" s="17"/>
      <c r="K115" s="18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3"/>
      <c r="B116" s="13"/>
      <c r="C116" s="13"/>
      <c r="D116" s="14"/>
      <c r="E116" s="15" t="str">
        <f aca="false">IF($B116="","",SUMIFS(Movimientos!$F$4:$F$303,Movimientos!$B$4:$B$303,$A116,Movimientos!$F$4:$F$303,"&gt;0"))</f>
        <v/>
      </c>
      <c r="F116" s="15" t="str">
        <f aca="false">IF($B116="","",-SUMIFS(Movimientos!$F$4:$F$303,Movimientos!$B$4:$B$303,$A116,Movimientos!$F$4:$F$303,"&lt;0"))</f>
        <v/>
      </c>
      <c r="G116" s="15" t="str">
        <f aca="false">IF($B116="","",N(D116)+E116-F116)</f>
        <v/>
      </c>
      <c r="H116" s="14"/>
      <c r="I116" s="16" t="str">
        <f aca="false">IF($B116="","",IF(G116&lt;=N(H116),"REPONER","OK"))</f>
        <v/>
      </c>
      <c r="J116" s="17"/>
      <c r="K116" s="18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3"/>
      <c r="B117" s="13"/>
      <c r="C117" s="13"/>
      <c r="D117" s="14"/>
      <c r="E117" s="15" t="str">
        <f aca="false">IF($B117="","",SUMIFS(Movimientos!$F$4:$F$303,Movimientos!$B$4:$B$303,$A117,Movimientos!$F$4:$F$303,"&gt;0"))</f>
        <v/>
      </c>
      <c r="F117" s="15" t="str">
        <f aca="false">IF($B117="","",-SUMIFS(Movimientos!$F$4:$F$303,Movimientos!$B$4:$B$303,$A117,Movimientos!$F$4:$F$303,"&lt;0"))</f>
        <v/>
      </c>
      <c r="G117" s="15" t="str">
        <f aca="false">IF($B117="","",N(D117)+E117-F117)</f>
        <v/>
      </c>
      <c r="H117" s="14"/>
      <c r="I117" s="16" t="str">
        <f aca="false">IF($B117="","",IF(G117&lt;=N(H117),"REPONER","OK"))</f>
        <v/>
      </c>
      <c r="J117" s="17"/>
      <c r="K117" s="18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3"/>
      <c r="B118" s="13"/>
      <c r="C118" s="13"/>
      <c r="D118" s="14"/>
      <c r="E118" s="15" t="str">
        <f aca="false">IF($B118="","",SUMIFS(Movimientos!$F$4:$F$303,Movimientos!$B$4:$B$303,$A118,Movimientos!$F$4:$F$303,"&gt;0"))</f>
        <v/>
      </c>
      <c r="F118" s="15" t="str">
        <f aca="false">IF($B118="","",-SUMIFS(Movimientos!$F$4:$F$303,Movimientos!$B$4:$B$303,$A118,Movimientos!$F$4:$F$303,"&lt;0"))</f>
        <v/>
      </c>
      <c r="G118" s="15" t="str">
        <f aca="false">IF($B118="","",N(D118)+E118-F118)</f>
        <v/>
      </c>
      <c r="H118" s="14"/>
      <c r="I118" s="16" t="str">
        <f aca="false">IF($B118="","",IF(G118&lt;=N(H118),"REPONER","OK"))</f>
        <v/>
      </c>
      <c r="J118" s="17"/>
      <c r="K118" s="18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3"/>
      <c r="B119" s="13"/>
      <c r="C119" s="13"/>
      <c r="D119" s="14"/>
      <c r="E119" s="15" t="str">
        <f aca="false">IF($B119="","",SUMIFS(Movimientos!$F$4:$F$303,Movimientos!$B$4:$B$303,$A119,Movimientos!$F$4:$F$303,"&gt;0"))</f>
        <v/>
      </c>
      <c r="F119" s="15" t="str">
        <f aca="false">IF($B119="","",-SUMIFS(Movimientos!$F$4:$F$303,Movimientos!$B$4:$B$303,$A119,Movimientos!$F$4:$F$303,"&lt;0"))</f>
        <v/>
      </c>
      <c r="G119" s="15" t="str">
        <f aca="false">IF($B119="","",N(D119)+E119-F119)</f>
        <v/>
      </c>
      <c r="H119" s="14"/>
      <c r="I119" s="16" t="str">
        <f aca="false">IF($B119="","",IF(G119&lt;=N(H119),"REPONER","OK"))</f>
        <v/>
      </c>
      <c r="J119" s="17"/>
      <c r="K119" s="18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3"/>
      <c r="B120" s="13"/>
      <c r="C120" s="13"/>
      <c r="D120" s="14"/>
      <c r="E120" s="15" t="str">
        <f aca="false">IF($B120="","",SUMIFS(Movimientos!$F$4:$F$303,Movimientos!$B$4:$B$303,$A120,Movimientos!$F$4:$F$303,"&gt;0"))</f>
        <v/>
      </c>
      <c r="F120" s="15" t="str">
        <f aca="false">IF($B120="","",-SUMIFS(Movimientos!$F$4:$F$303,Movimientos!$B$4:$B$303,$A120,Movimientos!$F$4:$F$303,"&lt;0"))</f>
        <v/>
      </c>
      <c r="G120" s="15" t="str">
        <f aca="false">IF($B120="","",N(D120)+E120-F120)</f>
        <v/>
      </c>
      <c r="H120" s="14"/>
      <c r="I120" s="16" t="str">
        <f aca="false">IF($B120="","",IF(G120&lt;=N(H120),"REPONER","OK"))</f>
        <v/>
      </c>
      <c r="J120" s="17"/>
      <c r="K120" s="18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3"/>
      <c r="B121" s="13"/>
      <c r="C121" s="13"/>
      <c r="D121" s="14"/>
      <c r="E121" s="15" t="str">
        <f aca="false">IF($B121="","",SUMIFS(Movimientos!$F$4:$F$303,Movimientos!$B$4:$B$303,$A121,Movimientos!$F$4:$F$303,"&gt;0"))</f>
        <v/>
      </c>
      <c r="F121" s="15" t="str">
        <f aca="false">IF($B121="","",-SUMIFS(Movimientos!$F$4:$F$303,Movimientos!$B$4:$B$303,$A121,Movimientos!$F$4:$F$303,"&lt;0"))</f>
        <v/>
      </c>
      <c r="G121" s="15" t="str">
        <f aca="false">IF($B121="","",N(D121)+E121-F121)</f>
        <v/>
      </c>
      <c r="H121" s="14"/>
      <c r="I121" s="16" t="str">
        <f aca="false">IF($B121="","",IF(G121&lt;=N(H121),"REPONER","OK"))</f>
        <v/>
      </c>
      <c r="J121" s="17"/>
      <c r="K121" s="18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3"/>
      <c r="B122" s="13"/>
      <c r="C122" s="13"/>
      <c r="D122" s="14"/>
      <c r="E122" s="15" t="str">
        <f aca="false">IF($B122="","",SUMIFS(Movimientos!$F$4:$F$303,Movimientos!$B$4:$B$303,$A122,Movimientos!$F$4:$F$303,"&gt;0"))</f>
        <v/>
      </c>
      <c r="F122" s="15" t="str">
        <f aca="false">IF($B122="","",-SUMIFS(Movimientos!$F$4:$F$303,Movimientos!$B$4:$B$303,$A122,Movimientos!$F$4:$F$303,"&lt;0"))</f>
        <v/>
      </c>
      <c r="G122" s="15" t="str">
        <f aca="false">IF($B122="","",N(D122)+E122-F122)</f>
        <v/>
      </c>
      <c r="H122" s="14"/>
      <c r="I122" s="16" t="str">
        <f aca="false">IF($B122="","",IF(G122&lt;=N(H122),"REPONER","OK"))</f>
        <v/>
      </c>
      <c r="J122" s="17"/>
      <c r="K122" s="18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3"/>
      <c r="B123" s="13"/>
      <c r="C123" s="13"/>
      <c r="D123" s="14"/>
      <c r="E123" s="15" t="str">
        <f aca="false">IF($B123="","",SUMIFS(Movimientos!$F$4:$F$303,Movimientos!$B$4:$B$303,$A123,Movimientos!$F$4:$F$303,"&gt;0"))</f>
        <v/>
      </c>
      <c r="F123" s="15" t="str">
        <f aca="false">IF($B123="","",-SUMIFS(Movimientos!$F$4:$F$303,Movimientos!$B$4:$B$303,$A123,Movimientos!$F$4:$F$303,"&lt;0"))</f>
        <v/>
      </c>
      <c r="G123" s="15" t="str">
        <f aca="false">IF($B123="","",N(D123)+E123-F123)</f>
        <v/>
      </c>
      <c r="H123" s="14"/>
      <c r="I123" s="16" t="str">
        <f aca="false">IF($B123="","",IF(G123&lt;=N(H123),"REPONER","OK"))</f>
        <v/>
      </c>
      <c r="J123" s="17"/>
      <c r="K123" s="18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3"/>
      <c r="B124" s="13"/>
      <c r="C124" s="13"/>
      <c r="D124" s="14"/>
      <c r="E124" s="15" t="str">
        <f aca="false">IF($B124="","",SUMIFS(Movimientos!$F$4:$F$303,Movimientos!$B$4:$B$303,$A124,Movimientos!$F$4:$F$303,"&gt;0"))</f>
        <v/>
      </c>
      <c r="F124" s="15" t="str">
        <f aca="false">IF($B124="","",-SUMIFS(Movimientos!$F$4:$F$303,Movimientos!$B$4:$B$303,$A124,Movimientos!$F$4:$F$303,"&lt;0"))</f>
        <v/>
      </c>
      <c r="G124" s="15" t="str">
        <f aca="false">IF($B124="","",N(D124)+E124-F124)</f>
        <v/>
      </c>
      <c r="H124" s="14"/>
      <c r="I124" s="16" t="str">
        <f aca="false">IF($B124="","",IF(G124&lt;=N(H124),"REPONER","OK"))</f>
        <v/>
      </c>
      <c r="J124" s="17"/>
      <c r="K124" s="18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3"/>
      <c r="B125" s="13"/>
      <c r="C125" s="13"/>
      <c r="D125" s="14"/>
      <c r="E125" s="15" t="str">
        <f aca="false">IF($B125="","",SUMIFS(Movimientos!$F$4:$F$303,Movimientos!$B$4:$B$303,$A125,Movimientos!$F$4:$F$303,"&gt;0"))</f>
        <v/>
      </c>
      <c r="F125" s="15" t="str">
        <f aca="false">IF($B125="","",-SUMIFS(Movimientos!$F$4:$F$303,Movimientos!$B$4:$B$303,$A125,Movimientos!$F$4:$F$303,"&lt;0"))</f>
        <v/>
      </c>
      <c r="G125" s="15" t="str">
        <f aca="false">IF($B125="","",N(D125)+E125-F125)</f>
        <v/>
      </c>
      <c r="H125" s="14"/>
      <c r="I125" s="16" t="str">
        <f aca="false">IF($B125="","",IF(G125&lt;=N(H125),"REPONER","OK"))</f>
        <v/>
      </c>
      <c r="J125" s="17"/>
      <c r="K125" s="18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3"/>
      <c r="B126" s="13"/>
      <c r="C126" s="13"/>
      <c r="D126" s="14"/>
      <c r="E126" s="15" t="str">
        <f aca="false">IF($B126="","",SUMIFS(Movimientos!$F$4:$F$303,Movimientos!$B$4:$B$303,$A126,Movimientos!$F$4:$F$303,"&gt;0"))</f>
        <v/>
      </c>
      <c r="F126" s="15" t="str">
        <f aca="false">IF($B126="","",-SUMIFS(Movimientos!$F$4:$F$303,Movimientos!$B$4:$B$303,$A126,Movimientos!$F$4:$F$303,"&lt;0"))</f>
        <v/>
      </c>
      <c r="G126" s="15" t="str">
        <f aca="false">IF($B126="","",N(D126)+E126-F126)</f>
        <v/>
      </c>
      <c r="H126" s="14"/>
      <c r="I126" s="16" t="str">
        <f aca="false">IF($B126="","",IF(G126&lt;=N(H126),"REPONER","OK"))</f>
        <v/>
      </c>
      <c r="J126" s="17"/>
      <c r="K126" s="18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3"/>
      <c r="B127" s="13"/>
      <c r="C127" s="13"/>
      <c r="D127" s="14"/>
      <c r="E127" s="15" t="str">
        <f aca="false">IF($B127="","",SUMIFS(Movimientos!$F$4:$F$303,Movimientos!$B$4:$B$303,$A127,Movimientos!$F$4:$F$303,"&gt;0"))</f>
        <v/>
      </c>
      <c r="F127" s="15" t="str">
        <f aca="false">IF($B127="","",-SUMIFS(Movimientos!$F$4:$F$303,Movimientos!$B$4:$B$303,$A127,Movimientos!$F$4:$F$303,"&lt;0"))</f>
        <v/>
      </c>
      <c r="G127" s="15" t="str">
        <f aca="false">IF($B127="","",N(D127)+E127-F127)</f>
        <v/>
      </c>
      <c r="H127" s="14"/>
      <c r="I127" s="16" t="str">
        <f aca="false">IF($B127="","",IF(G127&lt;=N(H127),"REPONER","OK"))</f>
        <v/>
      </c>
      <c r="J127" s="17"/>
      <c r="K127" s="18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3"/>
      <c r="B128" s="13"/>
      <c r="C128" s="13"/>
      <c r="D128" s="14"/>
      <c r="E128" s="15" t="str">
        <f aca="false">IF($B128="","",SUMIFS(Movimientos!$F$4:$F$303,Movimientos!$B$4:$B$303,$A128,Movimientos!$F$4:$F$303,"&gt;0"))</f>
        <v/>
      </c>
      <c r="F128" s="15" t="str">
        <f aca="false">IF($B128="","",-SUMIFS(Movimientos!$F$4:$F$303,Movimientos!$B$4:$B$303,$A128,Movimientos!$F$4:$F$303,"&lt;0"))</f>
        <v/>
      </c>
      <c r="G128" s="15" t="str">
        <f aca="false">IF($B128="","",N(D128)+E128-F128)</f>
        <v/>
      </c>
      <c r="H128" s="14"/>
      <c r="I128" s="16" t="str">
        <f aca="false">IF($B128="","",IF(G128&lt;=N(H128),"REPONER","OK"))</f>
        <v/>
      </c>
      <c r="J128" s="17"/>
      <c r="K128" s="18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3"/>
      <c r="B129" s="13"/>
      <c r="C129" s="13"/>
      <c r="D129" s="14"/>
      <c r="E129" s="15" t="str">
        <f aca="false">IF($B129="","",SUMIFS(Movimientos!$F$4:$F$303,Movimientos!$B$4:$B$303,$A129,Movimientos!$F$4:$F$303,"&gt;0"))</f>
        <v/>
      </c>
      <c r="F129" s="15" t="str">
        <f aca="false">IF($B129="","",-SUMIFS(Movimientos!$F$4:$F$303,Movimientos!$B$4:$B$303,$A129,Movimientos!$F$4:$F$303,"&lt;0"))</f>
        <v/>
      </c>
      <c r="G129" s="15" t="str">
        <f aca="false">IF($B129="","",N(D129)+E129-F129)</f>
        <v/>
      </c>
      <c r="H129" s="14"/>
      <c r="I129" s="16" t="str">
        <f aca="false">IF($B129="","",IF(G129&lt;=N(H129),"REPONER","OK"))</f>
        <v/>
      </c>
      <c r="J129" s="17"/>
      <c r="K129" s="18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3"/>
      <c r="B130" s="13"/>
      <c r="C130" s="13"/>
      <c r="D130" s="14"/>
      <c r="E130" s="15" t="str">
        <f aca="false">IF($B130="","",SUMIFS(Movimientos!$F$4:$F$303,Movimientos!$B$4:$B$303,$A130,Movimientos!$F$4:$F$303,"&gt;0"))</f>
        <v/>
      </c>
      <c r="F130" s="15" t="str">
        <f aca="false">IF($B130="","",-SUMIFS(Movimientos!$F$4:$F$303,Movimientos!$B$4:$B$303,$A130,Movimientos!$F$4:$F$303,"&lt;0"))</f>
        <v/>
      </c>
      <c r="G130" s="15" t="str">
        <f aca="false">IF($B130="","",N(D130)+E130-F130)</f>
        <v/>
      </c>
      <c r="H130" s="14"/>
      <c r="I130" s="16" t="str">
        <f aca="false">IF($B130="","",IF(G130&lt;=N(H130),"REPONER","OK"))</f>
        <v/>
      </c>
      <c r="J130" s="17"/>
      <c r="K130" s="18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3"/>
      <c r="B131" s="13"/>
      <c r="C131" s="13"/>
      <c r="D131" s="14"/>
      <c r="E131" s="15" t="str">
        <f aca="false">IF($B131="","",SUMIFS(Movimientos!$F$4:$F$303,Movimientos!$B$4:$B$303,$A131,Movimientos!$F$4:$F$303,"&gt;0"))</f>
        <v/>
      </c>
      <c r="F131" s="15" t="str">
        <f aca="false">IF($B131="","",-SUMIFS(Movimientos!$F$4:$F$303,Movimientos!$B$4:$B$303,$A131,Movimientos!$F$4:$F$303,"&lt;0"))</f>
        <v/>
      </c>
      <c r="G131" s="15" t="str">
        <f aca="false">IF($B131="","",N(D131)+E131-F131)</f>
        <v/>
      </c>
      <c r="H131" s="14"/>
      <c r="I131" s="16" t="str">
        <f aca="false">IF($B131="","",IF(G131&lt;=N(H131),"REPONER","OK"))</f>
        <v/>
      </c>
      <c r="J131" s="17"/>
      <c r="K131" s="18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3"/>
      <c r="B132" s="13"/>
      <c r="C132" s="13"/>
      <c r="D132" s="14"/>
      <c r="E132" s="15" t="str">
        <f aca="false">IF($B132="","",SUMIFS(Movimientos!$F$4:$F$303,Movimientos!$B$4:$B$303,$A132,Movimientos!$F$4:$F$303,"&gt;0"))</f>
        <v/>
      </c>
      <c r="F132" s="15" t="str">
        <f aca="false">IF($B132="","",-SUMIFS(Movimientos!$F$4:$F$303,Movimientos!$B$4:$B$303,$A132,Movimientos!$F$4:$F$303,"&lt;0"))</f>
        <v/>
      </c>
      <c r="G132" s="15" t="str">
        <f aca="false">IF($B132="","",N(D132)+E132-F132)</f>
        <v/>
      </c>
      <c r="H132" s="14"/>
      <c r="I132" s="16" t="str">
        <f aca="false">IF($B132="","",IF(G132&lt;=N(H132),"REPONER","OK"))</f>
        <v/>
      </c>
      <c r="J132" s="17"/>
      <c r="K132" s="18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3"/>
      <c r="B133" s="13"/>
      <c r="C133" s="13"/>
      <c r="D133" s="14"/>
      <c r="E133" s="15" t="str">
        <f aca="false">IF($B133="","",SUMIFS(Movimientos!$F$4:$F$303,Movimientos!$B$4:$B$303,$A133,Movimientos!$F$4:$F$303,"&gt;0"))</f>
        <v/>
      </c>
      <c r="F133" s="15" t="str">
        <f aca="false">IF($B133="","",-SUMIFS(Movimientos!$F$4:$F$303,Movimientos!$B$4:$B$303,$A133,Movimientos!$F$4:$F$303,"&lt;0"))</f>
        <v/>
      </c>
      <c r="G133" s="15" t="str">
        <f aca="false">IF($B133="","",N(D133)+E133-F133)</f>
        <v/>
      </c>
      <c r="H133" s="14"/>
      <c r="I133" s="16" t="str">
        <f aca="false">IF($B133="","",IF(G133&lt;=N(H133),"REPONER","OK"))</f>
        <v/>
      </c>
      <c r="J133" s="17"/>
      <c r="K133" s="18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3"/>
      <c r="B134" s="13"/>
      <c r="C134" s="13"/>
      <c r="D134" s="14"/>
      <c r="E134" s="15" t="str">
        <f aca="false">IF($B134="","",SUMIFS(Movimientos!$F$4:$F$303,Movimientos!$B$4:$B$303,$A134,Movimientos!$F$4:$F$303,"&gt;0"))</f>
        <v/>
      </c>
      <c r="F134" s="15" t="str">
        <f aca="false">IF($B134="","",-SUMIFS(Movimientos!$F$4:$F$303,Movimientos!$B$4:$B$303,$A134,Movimientos!$F$4:$F$303,"&lt;0"))</f>
        <v/>
      </c>
      <c r="G134" s="15" t="str">
        <f aca="false">IF($B134="","",N(D134)+E134-F134)</f>
        <v/>
      </c>
      <c r="H134" s="14"/>
      <c r="I134" s="16" t="str">
        <f aca="false">IF($B134="","",IF(G134&lt;=N(H134),"REPONER","OK"))</f>
        <v/>
      </c>
      <c r="J134" s="17"/>
      <c r="K134" s="18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3"/>
      <c r="B135" s="13"/>
      <c r="C135" s="13"/>
      <c r="D135" s="14"/>
      <c r="E135" s="15" t="str">
        <f aca="false">IF($B135="","",SUMIFS(Movimientos!$F$4:$F$303,Movimientos!$B$4:$B$303,$A135,Movimientos!$F$4:$F$303,"&gt;0"))</f>
        <v/>
      </c>
      <c r="F135" s="15" t="str">
        <f aca="false">IF($B135="","",-SUMIFS(Movimientos!$F$4:$F$303,Movimientos!$B$4:$B$303,$A135,Movimientos!$F$4:$F$303,"&lt;0"))</f>
        <v/>
      </c>
      <c r="G135" s="15" t="str">
        <f aca="false">IF($B135="","",N(D135)+E135-F135)</f>
        <v/>
      </c>
      <c r="H135" s="14"/>
      <c r="I135" s="16" t="str">
        <f aca="false">IF($B135="","",IF(G135&lt;=N(H135),"REPONER","OK"))</f>
        <v/>
      </c>
      <c r="J135" s="17"/>
      <c r="K135" s="18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3"/>
      <c r="B136" s="13"/>
      <c r="C136" s="13"/>
      <c r="D136" s="14"/>
      <c r="E136" s="15" t="str">
        <f aca="false">IF($B136="","",SUMIFS(Movimientos!$F$4:$F$303,Movimientos!$B$4:$B$303,$A136,Movimientos!$F$4:$F$303,"&gt;0"))</f>
        <v/>
      </c>
      <c r="F136" s="15" t="str">
        <f aca="false">IF($B136="","",-SUMIFS(Movimientos!$F$4:$F$303,Movimientos!$B$4:$B$303,$A136,Movimientos!$F$4:$F$303,"&lt;0"))</f>
        <v/>
      </c>
      <c r="G136" s="15" t="str">
        <f aca="false">IF($B136="","",N(D136)+E136-F136)</f>
        <v/>
      </c>
      <c r="H136" s="14"/>
      <c r="I136" s="16" t="str">
        <f aca="false">IF($B136="","",IF(G136&lt;=N(H136),"REPONER","OK"))</f>
        <v/>
      </c>
      <c r="J136" s="17"/>
      <c r="K136" s="18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3"/>
      <c r="B137" s="13"/>
      <c r="C137" s="13"/>
      <c r="D137" s="14"/>
      <c r="E137" s="15" t="str">
        <f aca="false">IF($B137="","",SUMIFS(Movimientos!$F$4:$F$303,Movimientos!$B$4:$B$303,$A137,Movimientos!$F$4:$F$303,"&gt;0"))</f>
        <v/>
      </c>
      <c r="F137" s="15" t="str">
        <f aca="false">IF($B137="","",-SUMIFS(Movimientos!$F$4:$F$303,Movimientos!$B$4:$B$303,$A137,Movimientos!$F$4:$F$303,"&lt;0"))</f>
        <v/>
      </c>
      <c r="G137" s="15" t="str">
        <f aca="false">IF($B137="","",N(D137)+E137-F137)</f>
        <v/>
      </c>
      <c r="H137" s="14"/>
      <c r="I137" s="16" t="str">
        <f aca="false">IF($B137="","",IF(G137&lt;=N(H137),"REPONER","OK"))</f>
        <v/>
      </c>
      <c r="J137" s="17"/>
      <c r="K137" s="18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3"/>
      <c r="B138" s="13"/>
      <c r="C138" s="13"/>
      <c r="D138" s="14"/>
      <c r="E138" s="15" t="str">
        <f aca="false">IF($B138="","",SUMIFS(Movimientos!$F$4:$F$303,Movimientos!$B$4:$B$303,$A138,Movimientos!$F$4:$F$303,"&gt;0"))</f>
        <v/>
      </c>
      <c r="F138" s="15" t="str">
        <f aca="false">IF($B138="","",-SUMIFS(Movimientos!$F$4:$F$303,Movimientos!$B$4:$B$303,$A138,Movimientos!$F$4:$F$303,"&lt;0"))</f>
        <v/>
      </c>
      <c r="G138" s="15" t="str">
        <f aca="false">IF($B138="","",N(D138)+E138-F138)</f>
        <v/>
      </c>
      <c r="H138" s="14"/>
      <c r="I138" s="16" t="str">
        <f aca="false">IF($B138="","",IF(G138&lt;=N(H138),"REPONER","OK"))</f>
        <v/>
      </c>
      <c r="J138" s="17"/>
      <c r="K138" s="18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3"/>
      <c r="B139" s="13"/>
      <c r="C139" s="13"/>
      <c r="D139" s="14"/>
      <c r="E139" s="15" t="str">
        <f aca="false">IF($B139="","",SUMIFS(Movimientos!$F$4:$F$303,Movimientos!$B$4:$B$303,$A139,Movimientos!$F$4:$F$303,"&gt;0"))</f>
        <v/>
      </c>
      <c r="F139" s="15" t="str">
        <f aca="false">IF($B139="","",-SUMIFS(Movimientos!$F$4:$F$303,Movimientos!$B$4:$B$303,$A139,Movimientos!$F$4:$F$303,"&lt;0"))</f>
        <v/>
      </c>
      <c r="G139" s="15" t="str">
        <f aca="false">IF($B139="","",N(D139)+E139-F139)</f>
        <v/>
      </c>
      <c r="H139" s="14"/>
      <c r="I139" s="16" t="str">
        <f aca="false">IF($B139="","",IF(G139&lt;=N(H139),"REPONER","OK"))</f>
        <v/>
      </c>
      <c r="J139" s="17"/>
      <c r="K139" s="18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3"/>
      <c r="B140" s="13"/>
      <c r="C140" s="13"/>
      <c r="D140" s="14"/>
      <c r="E140" s="15" t="str">
        <f aca="false">IF($B140="","",SUMIFS(Movimientos!$F$4:$F$303,Movimientos!$B$4:$B$303,$A140,Movimientos!$F$4:$F$303,"&gt;0"))</f>
        <v/>
      </c>
      <c r="F140" s="15" t="str">
        <f aca="false">IF($B140="","",-SUMIFS(Movimientos!$F$4:$F$303,Movimientos!$B$4:$B$303,$A140,Movimientos!$F$4:$F$303,"&lt;0"))</f>
        <v/>
      </c>
      <c r="G140" s="15" t="str">
        <f aca="false">IF($B140="","",N(D140)+E140-F140)</f>
        <v/>
      </c>
      <c r="H140" s="14"/>
      <c r="I140" s="16" t="str">
        <f aca="false">IF($B140="","",IF(G140&lt;=N(H140),"REPONER","OK"))</f>
        <v/>
      </c>
      <c r="J140" s="17"/>
      <c r="K140" s="18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3"/>
      <c r="B141" s="13"/>
      <c r="C141" s="13"/>
      <c r="D141" s="14"/>
      <c r="E141" s="15" t="str">
        <f aca="false">IF($B141="","",SUMIFS(Movimientos!$F$4:$F$303,Movimientos!$B$4:$B$303,$A141,Movimientos!$F$4:$F$303,"&gt;0"))</f>
        <v/>
      </c>
      <c r="F141" s="15" t="str">
        <f aca="false">IF($B141="","",-SUMIFS(Movimientos!$F$4:$F$303,Movimientos!$B$4:$B$303,$A141,Movimientos!$F$4:$F$303,"&lt;0"))</f>
        <v/>
      </c>
      <c r="G141" s="15" t="str">
        <f aca="false">IF($B141="","",N(D141)+E141-F141)</f>
        <v/>
      </c>
      <c r="H141" s="14"/>
      <c r="I141" s="16" t="str">
        <f aca="false">IF($B141="","",IF(G141&lt;=N(H141),"REPONER","OK"))</f>
        <v/>
      </c>
      <c r="J141" s="17"/>
      <c r="K141" s="18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3"/>
      <c r="B142" s="13"/>
      <c r="C142" s="13"/>
      <c r="D142" s="14"/>
      <c r="E142" s="15" t="str">
        <f aca="false">IF($B142="","",SUMIFS(Movimientos!$F$4:$F$303,Movimientos!$B$4:$B$303,$A142,Movimientos!$F$4:$F$303,"&gt;0"))</f>
        <v/>
      </c>
      <c r="F142" s="15" t="str">
        <f aca="false">IF($B142="","",-SUMIFS(Movimientos!$F$4:$F$303,Movimientos!$B$4:$B$303,$A142,Movimientos!$F$4:$F$303,"&lt;0"))</f>
        <v/>
      </c>
      <c r="G142" s="15" t="str">
        <f aca="false">IF($B142="","",N(D142)+E142-F142)</f>
        <v/>
      </c>
      <c r="H142" s="14"/>
      <c r="I142" s="16" t="str">
        <f aca="false">IF($B142="","",IF(G142&lt;=N(H142),"REPONER","OK"))</f>
        <v/>
      </c>
      <c r="J142" s="17"/>
      <c r="K142" s="18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3"/>
      <c r="B143" s="13"/>
      <c r="C143" s="13"/>
      <c r="D143" s="14"/>
      <c r="E143" s="15" t="str">
        <f aca="false">IF($B143="","",SUMIFS(Movimientos!$F$4:$F$303,Movimientos!$B$4:$B$303,$A143,Movimientos!$F$4:$F$303,"&gt;0"))</f>
        <v/>
      </c>
      <c r="F143" s="15" t="str">
        <f aca="false">IF($B143="","",-SUMIFS(Movimientos!$F$4:$F$303,Movimientos!$B$4:$B$303,$A143,Movimientos!$F$4:$F$303,"&lt;0"))</f>
        <v/>
      </c>
      <c r="G143" s="15" t="str">
        <f aca="false">IF($B143="","",N(D143)+E143-F143)</f>
        <v/>
      </c>
      <c r="H143" s="14"/>
      <c r="I143" s="16" t="str">
        <f aca="false">IF($B143="","",IF(G143&lt;=N(H143),"REPONER","OK"))</f>
        <v/>
      </c>
      <c r="J143" s="17"/>
      <c r="K143" s="18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3"/>
      <c r="B144" s="13"/>
      <c r="C144" s="13"/>
      <c r="D144" s="14"/>
      <c r="E144" s="15" t="str">
        <f aca="false">IF($B144="","",SUMIFS(Movimientos!$F$4:$F$303,Movimientos!$B$4:$B$303,$A144,Movimientos!$F$4:$F$303,"&gt;0"))</f>
        <v/>
      </c>
      <c r="F144" s="15" t="str">
        <f aca="false">IF($B144="","",-SUMIFS(Movimientos!$F$4:$F$303,Movimientos!$B$4:$B$303,$A144,Movimientos!$F$4:$F$303,"&lt;0"))</f>
        <v/>
      </c>
      <c r="G144" s="15" t="str">
        <f aca="false">IF($B144="","",N(D144)+E144-F144)</f>
        <v/>
      </c>
      <c r="H144" s="14"/>
      <c r="I144" s="16" t="str">
        <f aca="false">IF($B144="","",IF(G144&lt;=N(H144),"REPONER","OK"))</f>
        <v/>
      </c>
      <c r="J144" s="17"/>
      <c r="K144" s="18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3"/>
      <c r="B145" s="13"/>
      <c r="C145" s="13"/>
      <c r="D145" s="14"/>
      <c r="E145" s="15" t="str">
        <f aca="false">IF($B145="","",SUMIFS(Movimientos!$F$4:$F$303,Movimientos!$B$4:$B$303,$A145,Movimientos!$F$4:$F$303,"&gt;0"))</f>
        <v/>
      </c>
      <c r="F145" s="15" t="str">
        <f aca="false">IF($B145="","",-SUMIFS(Movimientos!$F$4:$F$303,Movimientos!$B$4:$B$303,$A145,Movimientos!$F$4:$F$303,"&lt;0"))</f>
        <v/>
      </c>
      <c r="G145" s="15" t="str">
        <f aca="false">IF($B145="","",N(D145)+E145-F145)</f>
        <v/>
      </c>
      <c r="H145" s="14"/>
      <c r="I145" s="16" t="str">
        <f aca="false">IF($B145="","",IF(G145&lt;=N(H145),"REPONER","OK"))</f>
        <v/>
      </c>
      <c r="J145" s="17"/>
      <c r="K145" s="18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3"/>
      <c r="B146" s="13"/>
      <c r="C146" s="13"/>
      <c r="D146" s="14"/>
      <c r="E146" s="15" t="str">
        <f aca="false">IF($B146="","",SUMIFS(Movimientos!$F$4:$F$303,Movimientos!$B$4:$B$303,$A146,Movimientos!$F$4:$F$303,"&gt;0"))</f>
        <v/>
      </c>
      <c r="F146" s="15" t="str">
        <f aca="false">IF($B146="","",-SUMIFS(Movimientos!$F$4:$F$303,Movimientos!$B$4:$B$303,$A146,Movimientos!$F$4:$F$303,"&lt;0"))</f>
        <v/>
      </c>
      <c r="G146" s="15" t="str">
        <f aca="false">IF($B146="","",N(D146)+E146-F146)</f>
        <v/>
      </c>
      <c r="H146" s="14"/>
      <c r="I146" s="16" t="str">
        <f aca="false">IF($B146="","",IF(G146&lt;=N(H146),"REPONER","OK"))</f>
        <v/>
      </c>
      <c r="J146" s="17"/>
      <c r="K146" s="18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3"/>
      <c r="B147" s="13"/>
      <c r="C147" s="13"/>
      <c r="D147" s="14"/>
      <c r="E147" s="15" t="str">
        <f aca="false">IF($B147="","",SUMIFS(Movimientos!$F$4:$F$303,Movimientos!$B$4:$B$303,$A147,Movimientos!$F$4:$F$303,"&gt;0"))</f>
        <v/>
      </c>
      <c r="F147" s="15" t="str">
        <f aca="false">IF($B147="","",-SUMIFS(Movimientos!$F$4:$F$303,Movimientos!$B$4:$B$303,$A147,Movimientos!$F$4:$F$303,"&lt;0"))</f>
        <v/>
      </c>
      <c r="G147" s="15" t="str">
        <f aca="false">IF($B147="","",N(D147)+E147-F147)</f>
        <v/>
      </c>
      <c r="H147" s="14"/>
      <c r="I147" s="16" t="str">
        <f aca="false">IF($B147="","",IF(G147&lt;=N(H147),"REPONER","OK"))</f>
        <v/>
      </c>
      <c r="J147" s="17"/>
      <c r="K147" s="18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3"/>
      <c r="B148" s="13"/>
      <c r="C148" s="13"/>
      <c r="D148" s="14"/>
      <c r="E148" s="15" t="str">
        <f aca="false">IF($B148="","",SUMIFS(Movimientos!$F$4:$F$303,Movimientos!$B$4:$B$303,$A148,Movimientos!$F$4:$F$303,"&gt;0"))</f>
        <v/>
      </c>
      <c r="F148" s="15" t="str">
        <f aca="false">IF($B148="","",-SUMIFS(Movimientos!$F$4:$F$303,Movimientos!$B$4:$B$303,$A148,Movimientos!$F$4:$F$303,"&lt;0"))</f>
        <v/>
      </c>
      <c r="G148" s="15" t="str">
        <f aca="false">IF($B148="","",N(D148)+E148-F148)</f>
        <v/>
      </c>
      <c r="H148" s="14"/>
      <c r="I148" s="16" t="str">
        <f aca="false">IF($B148="","",IF(G148&lt;=N(H148),"REPONER","OK"))</f>
        <v/>
      </c>
      <c r="J148" s="17"/>
      <c r="K148" s="18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3"/>
      <c r="B149" s="13"/>
      <c r="C149" s="13"/>
      <c r="D149" s="14"/>
      <c r="E149" s="15" t="str">
        <f aca="false">IF($B149="","",SUMIFS(Movimientos!$F$4:$F$303,Movimientos!$B$4:$B$303,$A149,Movimientos!$F$4:$F$303,"&gt;0"))</f>
        <v/>
      </c>
      <c r="F149" s="15" t="str">
        <f aca="false">IF($B149="","",-SUMIFS(Movimientos!$F$4:$F$303,Movimientos!$B$4:$B$303,$A149,Movimientos!$F$4:$F$303,"&lt;0"))</f>
        <v/>
      </c>
      <c r="G149" s="15" t="str">
        <f aca="false">IF($B149="","",N(D149)+E149-F149)</f>
        <v/>
      </c>
      <c r="H149" s="14"/>
      <c r="I149" s="16" t="str">
        <f aca="false">IF($B149="","",IF(G149&lt;=N(H149),"REPONER","OK"))</f>
        <v/>
      </c>
      <c r="J149" s="17"/>
      <c r="K149" s="18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3"/>
      <c r="B150" s="13"/>
      <c r="C150" s="13"/>
      <c r="D150" s="14"/>
      <c r="E150" s="15" t="str">
        <f aca="false">IF($B150="","",SUMIFS(Movimientos!$F$4:$F$303,Movimientos!$B$4:$B$303,$A150,Movimientos!$F$4:$F$303,"&gt;0"))</f>
        <v/>
      </c>
      <c r="F150" s="15" t="str">
        <f aca="false">IF($B150="","",-SUMIFS(Movimientos!$F$4:$F$303,Movimientos!$B$4:$B$303,$A150,Movimientos!$F$4:$F$303,"&lt;0"))</f>
        <v/>
      </c>
      <c r="G150" s="15" t="str">
        <f aca="false">IF($B150="","",N(D150)+E150-F150)</f>
        <v/>
      </c>
      <c r="H150" s="14"/>
      <c r="I150" s="16" t="str">
        <f aca="false">IF($B150="","",IF(G150&lt;=N(H150),"REPONER","OK"))</f>
        <v/>
      </c>
      <c r="J150" s="17"/>
      <c r="K150" s="18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3"/>
      <c r="B151" s="13"/>
      <c r="C151" s="13"/>
      <c r="D151" s="14"/>
      <c r="E151" s="15" t="str">
        <f aca="false">IF($B151="","",SUMIFS(Movimientos!$F$4:$F$303,Movimientos!$B$4:$B$303,$A151,Movimientos!$F$4:$F$303,"&gt;0"))</f>
        <v/>
      </c>
      <c r="F151" s="15" t="str">
        <f aca="false">IF($B151="","",-SUMIFS(Movimientos!$F$4:$F$303,Movimientos!$B$4:$B$303,$A151,Movimientos!$F$4:$F$303,"&lt;0"))</f>
        <v/>
      </c>
      <c r="G151" s="15" t="str">
        <f aca="false">IF($B151="","",N(D151)+E151-F151)</f>
        <v/>
      </c>
      <c r="H151" s="14"/>
      <c r="I151" s="16" t="str">
        <f aca="false">IF($B151="","",IF(G151&lt;=N(H151),"REPONER","OK"))</f>
        <v/>
      </c>
      <c r="J151" s="17"/>
      <c r="K151" s="18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3"/>
      <c r="B152" s="13"/>
      <c r="C152" s="13"/>
      <c r="D152" s="14"/>
      <c r="E152" s="15" t="str">
        <f aca="false">IF($B152="","",SUMIFS(Movimientos!$F$4:$F$303,Movimientos!$B$4:$B$303,$A152,Movimientos!$F$4:$F$303,"&gt;0"))</f>
        <v/>
      </c>
      <c r="F152" s="15" t="str">
        <f aca="false">IF($B152="","",-SUMIFS(Movimientos!$F$4:$F$303,Movimientos!$B$4:$B$303,$A152,Movimientos!$F$4:$F$303,"&lt;0"))</f>
        <v/>
      </c>
      <c r="G152" s="15" t="str">
        <f aca="false">IF($B152="","",N(D152)+E152-F152)</f>
        <v/>
      </c>
      <c r="H152" s="14"/>
      <c r="I152" s="16" t="str">
        <f aca="false">IF($B152="","",IF(G152&lt;=N(H152),"REPONER","OK"))</f>
        <v/>
      </c>
      <c r="J152" s="17"/>
      <c r="K152" s="18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3"/>
      <c r="B153" s="13"/>
      <c r="C153" s="13"/>
      <c r="D153" s="14"/>
      <c r="E153" s="15" t="str">
        <f aca="false">IF($B153="","",SUMIFS(Movimientos!$F$4:$F$303,Movimientos!$B$4:$B$303,$A153,Movimientos!$F$4:$F$303,"&gt;0"))</f>
        <v/>
      </c>
      <c r="F153" s="15" t="str">
        <f aca="false">IF($B153="","",-SUMIFS(Movimientos!$F$4:$F$303,Movimientos!$B$4:$B$303,$A153,Movimientos!$F$4:$F$303,"&lt;0"))</f>
        <v/>
      </c>
      <c r="G153" s="15" t="str">
        <f aca="false">IF($B153="","",N(D153)+E153-F153)</f>
        <v/>
      </c>
      <c r="H153" s="14"/>
      <c r="I153" s="16" t="str">
        <f aca="false">IF($B153="","",IF(G153&lt;=N(H153),"REPONER","OK"))</f>
        <v/>
      </c>
      <c r="J153" s="17"/>
      <c r="K153" s="18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3"/>
      <c r="B154" s="13"/>
      <c r="C154" s="13"/>
      <c r="D154" s="14"/>
      <c r="E154" s="15" t="str">
        <f aca="false">IF($B154="","",SUMIFS(Movimientos!$F$4:$F$303,Movimientos!$B$4:$B$303,$A154,Movimientos!$F$4:$F$303,"&gt;0"))</f>
        <v/>
      </c>
      <c r="F154" s="15" t="str">
        <f aca="false">IF($B154="","",-SUMIFS(Movimientos!$F$4:$F$303,Movimientos!$B$4:$B$303,$A154,Movimientos!$F$4:$F$303,"&lt;0"))</f>
        <v/>
      </c>
      <c r="G154" s="15" t="str">
        <f aca="false">IF($B154="","",N(D154)+E154-F154)</f>
        <v/>
      </c>
      <c r="H154" s="14"/>
      <c r="I154" s="16" t="str">
        <f aca="false">IF($B154="","",IF(G154&lt;=N(H154),"REPONER","OK"))</f>
        <v/>
      </c>
      <c r="J154" s="17"/>
      <c r="K154" s="18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3"/>
      <c r="B155" s="13"/>
      <c r="C155" s="13"/>
      <c r="D155" s="14"/>
      <c r="E155" s="15" t="str">
        <f aca="false">IF($B155="","",SUMIFS(Movimientos!$F$4:$F$303,Movimientos!$B$4:$B$303,$A155,Movimientos!$F$4:$F$303,"&gt;0"))</f>
        <v/>
      </c>
      <c r="F155" s="15" t="str">
        <f aca="false">IF($B155="","",-SUMIFS(Movimientos!$F$4:$F$303,Movimientos!$B$4:$B$303,$A155,Movimientos!$F$4:$F$303,"&lt;0"))</f>
        <v/>
      </c>
      <c r="G155" s="15" t="str">
        <f aca="false">IF($B155="","",N(D155)+E155-F155)</f>
        <v/>
      </c>
      <c r="H155" s="14"/>
      <c r="I155" s="16" t="str">
        <f aca="false">IF($B155="","",IF(G155&lt;=N(H155),"REPONER","OK"))</f>
        <v/>
      </c>
      <c r="J155" s="17"/>
      <c r="K155" s="18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3"/>
      <c r="B156" s="13"/>
      <c r="C156" s="13"/>
      <c r="D156" s="14"/>
      <c r="E156" s="15" t="str">
        <f aca="false">IF($B156="","",SUMIFS(Movimientos!$F$4:$F$303,Movimientos!$B$4:$B$303,$A156,Movimientos!$F$4:$F$303,"&gt;0"))</f>
        <v/>
      </c>
      <c r="F156" s="15" t="str">
        <f aca="false">IF($B156="","",-SUMIFS(Movimientos!$F$4:$F$303,Movimientos!$B$4:$B$303,$A156,Movimientos!$F$4:$F$303,"&lt;0"))</f>
        <v/>
      </c>
      <c r="G156" s="15" t="str">
        <f aca="false">IF($B156="","",N(D156)+E156-F156)</f>
        <v/>
      </c>
      <c r="H156" s="14"/>
      <c r="I156" s="16" t="str">
        <f aca="false">IF($B156="","",IF(G156&lt;=N(H156),"REPONER","OK"))</f>
        <v/>
      </c>
      <c r="J156" s="17"/>
      <c r="K156" s="18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3"/>
      <c r="B157" s="13"/>
      <c r="C157" s="13"/>
      <c r="D157" s="14"/>
      <c r="E157" s="15" t="str">
        <f aca="false">IF($B157="","",SUMIFS(Movimientos!$F$4:$F$303,Movimientos!$B$4:$B$303,$A157,Movimientos!$F$4:$F$303,"&gt;0"))</f>
        <v/>
      </c>
      <c r="F157" s="15" t="str">
        <f aca="false">IF($B157="","",-SUMIFS(Movimientos!$F$4:$F$303,Movimientos!$B$4:$B$303,$A157,Movimientos!$F$4:$F$303,"&lt;0"))</f>
        <v/>
      </c>
      <c r="G157" s="15" t="str">
        <f aca="false">IF($B157="","",N(D157)+E157-F157)</f>
        <v/>
      </c>
      <c r="H157" s="14"/>
      <c r="I157" s="16" t="str">
        <f aca="false">IF($B157="","",IF(G157&lt;=N(H157),"REPONER","OK"))</f>
        <v/>
      </c>
      <c r="J157" s="17"/>
      <c r="K157" s="18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3"/>
      <c r="B158" s="13"/>
      <c r="C158" s="13"/>
      <c r="D158" s="14"/>
      <c r="E158" s="15" t="str">
        <f aca="false">IF($B158="","",SUMIFS(Movimientos!$F$4:$F$303,Movimientos!$B$4:$B$303,$A158,Movimientos!$F$4:$F$303,"&gt;0"))</f>
        <v/>
      </c>
      <c r="F158" s="15" t="str">
        <f aca="false">IF($B158="","",-SUMIFS(Movimientos!$F$4:$F$303,Movimientos!$B$4:$B$303,$A158,Movimientos!$F$4:$F$303,"&lt;0"))</f>
        <v/>
      </c>
      <c r="G158" s="15" t="str">
        <f aca="false">IF($B158="","",N(D158)+E158-F158)</f>
        <v/>
      </c>
      <c r="H158" s="14"/>
      <c r="I158" s="16" t="str">
        <f aca="false">IF($B158="","",IF(G158&lt;=N(H158),"REPONER","OK"))</f>
        <v/>
      </c>
      <c r="J158" s="17"/>
      <c r="K158" s="18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3"/>
      <c r="B159" s="13"/>
      <c r="C159" s="13"/>
      <c r="D159" s="14"/>
      <c r="E159" s="15" t="str">
        <f aca="false">IF($B159="","",SUMIFS(Movimientos!$F$4:$F$303,Movimientos!$B$4:$B$303,$A159,Movimientos!$F$4:$F$303,"&gt;0"))</f>
        <v/>
      </c>
      <c r="F159" s="15" t="str">
        <f aca="false">IF($B159="","",-SUMIFS(Movimientos!$F$4:$F$303,Movimientos!$B$4:$B$303,$A159,Movimientos!$F$4:$F$303,"&lt;0"))</f>
        <v/>
      </c>
      <c r="G159" s="15" t="str">
        <f aca="false">IF($B159="","",N(D159)+E159-F159)</f>
        <v/>
      </c>
      <c r="H159" s="14"/>
      <c r="I159" s="16" t="str">
        <f aca="false">IF($B159="","",IF(G159&lt;=N(H159),"REPONER","OK"))</f>
        <v/>
      </c>
      <c r="J159" s="17"/>
      <c r="K159" s="18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3"/>
      <c r="B160" s="13"/>
      <c r="C160" s="13"/>
      <c r="D160" s="14"/>
      <c r="E160" s="15" t="str">
        <f aca="false">IF($B160="","",SUMIFS(Movimientos!$F$4:$F$303,Movimientos!$B$4:$B$303,$A160,Movimientos!$F$4:$F$303,"&gt;0"))</f>
        <v/>
      </c>
      <c r="F160" s="15" t="str">
        <f aca="false">IF($B160="","",-SUMIFS(Movimientos!$F$4:$F$303,Movimientos!$B$4:$B$303,$A160,Movimientos!$F$4:$F$303,"&lt;0"))</f>
        <v/>
      </c>
      <c r="G160" s="15" t="str">
        <f aca="false">IF($B160="","",N(D160)+E160-F160)</f>
        <v/>
      </c>
      <c r="H160" s="14"/>
      <c r="I160" s="16" t="str">
        <f aca="false">IF($B160="","",IF(G160&lt;=N(H160),"REPONER","OK"))</f>
        <v/>
      </c>
      <c r="J160" s="17"/>
      <c r="K160" s="18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3"/>
      <c r="B161" s="13"/>
      <c r="C161" s="13"/>
      <c r="D161" s="14"/>
      <c r="E161" s="15" t="str">
        <f aca="false">IF($B161="","",SUMIFS(Movimientos!$F$4:$F$303,Movimientos!$B$4:$B$303,$A161,Movimientos!$F$4:$F$303,"&gt;0"))</f>
        <v/>
      </c>
      <c r="F161" s="15" t="str">
        <f aca="false">IF($B161="","",-SUMIFS(Movimientos!$F$4:$F$303,Movimientos!$B$4:$B$303,$A161,Movimientos!$F$4:$F$303,"&lt;0"))</f>
        <v/>
      </c>
      <c r="G161" s="15" t="str">
        <f aca="false">IF($B161="","",N(D161)+E161-F161)</f>
        <v/>
      </c>
      <c r="H161" s="14"/>
      <c r="I161" s="16" t="str">
        <f aca="false">IF($B161="","",IF(G161&lt;=N(H161),"REPONER","OK"))</f>
        <v/>
      </c>
      <c r="J161" s="17"/>
      <c r="K161" s="18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3"/>
      <c r="B162" s="13"/>
      <c r="C162" s="13"/>
      <c r="D162" s="14"/>
      <c r="E162" s="15" t="str">
        <f aca="false">IF($B162="","",SUMIFS(Movimientos!$F$4:$F$303,Movimientos!$B$4:$B$303,$A162,Movimientos!$F$4:$F$303,"&gt;0"))</f>
        <v/>
      </c>
      <c r="F162" s="15" t="str">
        <f aca="false">IF($B162="","",-SUMIFS(Movimientos!$F$4:$F$303,Movimientos!$B$4:$B$303,$A162,Movimientos!$F$4:$F$303,"&lt;0"))</f>
        <v/>
      </c>
      <c r="G162" s="15" t="str">
        <f aca="false">IF($B162="","",N(D162)+E162-F162)</f>
        <v/>
      </c>
      <c r="H162" s="14"/>
      <c r="I162" s="16" t="str">
        <f aca="false">IF($B162="","",IF(G162&lt;=N(H162),"REPONER","OK"))</f>
        <v/>
      </c>
      <c r="J162" s="17"/>
      <c r="K162" s="18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3"/>
      <c r="B163" s="13"/>
      <c r="C163" s="13"/>
      <c r="D163" s="14"/>
      <c r="E163" s="15" t="str">
        <f aca="false">IF($B163="","",SUMIFS(Movimientos!$F$4:$F$303,Movimientos!$B$4:$B$303,$A163,Movimientos!$F$4:$F$303,"&gt;0"))</f>
        <v/>
      </c>
      <c r="F163" s="15" t="str">
        <f aca="false">IF($B163="","",-SUMIFS(Movimientos!$F$4:$F$303,Movimientos!$B$4:$B$303,$A163,Movimientos!$F$4:$F$303,"&lt;0"))</f>
        <v/>
      </c>
      <c r="G163" s="15" t="str">
        <f aca="false">IF($B163="","",N(D163)+E163-F163)</f>
        <v/>
      </c>
      <c r="H163" s="14"/>
      <c r="I163" s="16" t="str">
        <f aca="false">IF($B163="","",IF(G163&lt;=N(H163),"REPONER","OK"))</f>
        <v/>
      </c>
      <c r="J163" s="17"/>
      <c r="K163" s="18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3"/>
      <c r="B164" s="13"/>
      <c r="C164" s="13"/>
      <c r="D164" s="14"/>
      <c r="E164" s="15" t="str">
        <f aca="false">IF($B164="","",SUMIFS(Movimientos!$F$4:$F$303,Movimientos!$B$4:$B$303,$A164,Movimientos!$F$4:$F$303,"&gt;0"))</f>
        <v/>
      </c>
      <c r="F164" s="15" t="str">
        <f aca="false">IF($B164="","",-SUMIFS(Movimientos!$F$4:$F$303,Movimientos!$B$4:$B$303,$A164,Movimientos!$F$4:$F$303,"&lt;0"))</f>
        <v/>
      </c>
      <c r="G164" s="15" t="str">
        <f aca="false">IF($B164="","",N(D164)+E164-F164)</f>
        <v/>
      </c>
      <c r="H164" s="14"/>
      <c r="I164" s="16" t="str">
        <f aca="false">IF($B164="","",IF(G164&lt;=N(H164),"REPONER","OK"))</f>
        <v/>
      </c>
      <c r="J164" s="17"/>
      <c r="K164" s="18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3"/>
      <c r="B165" s="13"/>
      <c r="C165" s="13"/>
      <c r="D165" s="14"/>
      <c r="E165" s="15" t="str">
        <f aca="false">IF($B165="","",SUMIFS(Movimientos!$F$4:$F$303,Movimientos!$B$4:$B$303,$A165,Movimientos!$F$4:$F$303,"&gt;0"))</f>
        <v/>
      </c>
      <c r="F165" s="15" t="str">
        <f aca="false">IF($B165="","",-SUMIFS(Movimientos!$F$4:$F$303,Movimientos!$B$4:$B$303,$A165,Movimientos!$F$4:$F$303,"&lt;0"))</f>
        <v/>
      </c>
      <c r="G165" s="15" t="str">
        <f aca="false">IF($B165="","",N(D165)+E165-F165)</f>
        <v/>
      </c>
      <c r="H165" s="14"/>
      <c r="I165" s="16" t="str">
        <f aca="false">IF($B165="","",IF(G165&lt;=N(H165),"REPONER","OK"))</f>
        <v/>
      </c>
      <c r="J165" s="17"/>
      <c r="K165" s="18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3"/>
      <c r="B166" s="13"/>
      <c r="C166" s="13"/>
      <c r="D166" s="14"/>
      <c r="E166" s="15" t="str">
        <f aca="false">IF($B166="","",SUMIFS(Movimientos!$F$4:$F$303,Movimientos!$B$4:$B$303,$A166,Movimientos!$F$4:$F$303,"&gt;0"))</f>
        <v/>
      </c>
      <c r="F166" s="15" t="str">
        <f aca="false">IF($B166="","",-SUMIFS(Movimientos!$F$4:$F$303,Movimientos!$B$4:$B$303,$A166,Movimientos!$F$4:$F$303,"&lt;0"))</f>
        <v/>
      </c>
      <c r="G166" s="15" t="str">
        <f aca="false">IF($B166="","",N(D166)+E166-F166)</f>
        <v/>
      </c>
      <c r="H166" s="14"/>
      <c r="I166" s="16" t="str">
        <f aca="false">IF($B166="","",IF(G166&lt;=N(H166),"REPONER","OK"))</f>
        <v/>
      </c>
      <c r="J166" s="17"/>
      <c r="K166" s="18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3"/>
      <c r="B167" s="13"/>
      <c r="C167" s="13"/>
      <c r="D167" s="14"/>
      <c r="E167" s="15" t="str">
        <f aca="false">IF($B167="","",SUMIFS(Movimientos!$F$4:$F$303,Movimientos!$B$4:$B$303,$A167,Movimientos!$F$4:$F$303,"&gt;0"))</f>
        <v/>
      </c>
      <c r="F167" s="15" t="str">
        <f aca="false">IF($B167="","",-SUMIFS(Movimientos!$F$4:$F$303,Movimientos!$B$4:$B$303,$A167,Movimientos!$F$4:$F$303,"&lt;0"))</f>
        <v/>
      </c>
      <c r="G167" s="15" t="str">
        <f aca="false">IF($B167="","",N(D167)+E167-F167)</f>
        <v/>
      </c>
      <c r="H167" s="14"/>
      <c r="I167" s="16" t="str">
        <f aca="false">IF($B167="","",IF(G167&lt;=N(H167),"REPONER","OK"))</f>
        <v/>
      </c>
      <c r="J167" s="17"/>
      <c r="K167" s="18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3"/>
      <c r="B168" s="13"/>
      <c r="C168" s="13"/>
      <c r="D168" s="14"/>
      <c r="E168" s="15" t="str">
        <f aca="false">IF($B168="","",SUMIFS(Movimientos!$F$4:$F$303,Movimientos!$B$4:$B$303,$A168,Movimientos!$F$4:$F$303,"&gt;0"))</f>
        <v/>
      </c>
      <c r="F168" s="15" t="str">
        <f aca="false">IF($B168="","",-SUMIFS(Movimientos!$F$4:$F$303,Movimientos!$B$4:$B$303,$A168,Movimientos!$F$4:$F$303,"&lt;0"))</f>
        <v/>
      </c>
      <c r="G168" s="15" t="str">
        <f aca="false">IF($B168="","",N(D168)+E168-F168)</f>
        <v/>
      </c>
      <c r="H168" s="14"/>
      <c r="I168" s="16" t="str">
        <f aca="false">IF($B168="","",IF(G168&lt;=N(H168),"REPONER","OK"))</f>
        <v/>
      </c>
      <c r="J168" s="17"/>
      <c r="K168" s="18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3"/>
      <c r="B169" s="13"/>
      <c r="C169" s="13"/>
      <c r="D169" s="14"/>
      <c r="E169" s="15" t="str">
        <f aca="false">IF($B169="","",SUMIFS(Movimientos!$F$4:$F$303,Movimientos!$B$4:$B$303,$A169,Movimientos!$F$4:$F$303,"&gt;0"))</f>
        <v/>
      </c>
      <c r="F169" s="15" t="str">
        <f aca="false">IF($B169="","",-SUMIFS(Movimientos!$F$4:$F$303,Movimientos!$B$4:$B$303,$A169,Movimientos!$F$4:$F$303,"&lt;0"))</f>
        <v/>
      </c>
      <c r="G169" s="15" t="str">
        <f aca="false">IF($B169="","",N(D169)+E169-F169)</f>
        <v/>
      </c>
      <c r="H169" s="14"/>
      <c r="I169" s="16" t="str">
        <f aca="false">IF($B169="","",IF(G169&lt;=N(H169),"REPONER","OK"))</f>
        <v/>
      </c>
      <c r="J169" s="17"/>
      <c r="K169" s="18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3"/>
      <c r="B170" s="13"/>
      <c r="C170" s="13"/>
      <c r="D170" s="14"/>
      <c r="E170" s="15" t="str">
        <f aca="false">IF($B170="","",SUMIFS(Movimientos!$F$4:$F$303,Movimientos!$B$4:$B$303,$A170,Movimientos!$F$4:$F$303,"&gt;0"))</f>
        <v/>
      </c>
      <c r="F170" s="15" t="str">
        <f aca="false">IF($B170="","",-SUMIFS(Movimientos!$F$4:$F$303,Movimientos!$B$4:$B$303,$A170,Movimientos!$F$4:$F$303,"&lt;0"))</f>
        <v/>
      </c>
      <c r="G170" s="15" t="str">
        <f aca="false">IF($B170="","",N(D170)+E170-F170)</f>
        <v/>
      </c>
      <c r="H170" s="14"/>
      <c r="I170" s="16" t="str">
        <f aca="false">IF($B170="","",IF(G170&lt;=N(H170),"REPONER","OK"))</f>
        <v/>
      </c>
      <c r="J170" s="17"/>
      <c r="K170" s="18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3"/>
      <c r="B171" s="13"/>
      <c r="C171" s="13"/>
      <c r="D171" s="14"/>
      <c r="E171" s="15" t="str">
        <f aca="false">IF($B171="","",SUMIFS(Movimientos!$F$4:$F$303,Movimientos!$B$4:$B$303,$A171,Movimientos!$F$4:$F$303,"&gt;0"))</f>
        <v/>
      </c>
      <c r="F171" s="15" t="str">
        <f aca="false">IF($B171="","",-SUMIFS(Movimientos!$F$4:$F$303,Movimientos!$B$4:$B$303,$A171,Movimientos!$F$4:$F$303,"&lt;0"))</f>
        <v/>
      </c>
      <c r="G171" s="15" t="str">
        <f aca="false">IF($B171="","",N(D171)+E171-F171)</f>
        <v/>
      </c>
      <c r="H171" s="14"/>
      <c r="I171" s="16" t="str">
        <f aca="false">IF($B171="","",IF(G171&lt;=N(H171),"REPONER","OK"))</f>
        <v/>
      </c>
      <c r="J171" s="17"/>
      <c r="K171" s="18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3"/>
      <c r="B172" s="13"/>
      <c r="C172" s="13"/>
      <c r="D172" s="14"/>
      <c r="E172" s="15" t="str">
        <f aca="false">IF($B172="","",SUMIFS(Movimientos!$F$4:$F$303,Movimientos!$B$4:$B$303,$A172,Movimientos!$F$4:$F$303,"&gt;0"))</f>
        <v/>
      </c>
      <c r="F172" s="15" t="str">
        <f aca="false">IF($B172="","",-SUMIFS(Movimientos!$F$4:$F$303,Movimientos!$B$4:$B$303,$A172,Movimientos!$F$4:$F$303,"&lt;0"))</f>
        <v/>
      </c>
      <c r="G172" s="15" t="str">
        <f aca="false">IF($B172="","",N(D172)+E172-F172)</f>
        <v/>
      </c>
      <c r="H172" s="14"/>
      <c r="I172" s="16" t="str">
        <f aca="false">IF($B172="","",IF(G172&lt;=N(H172),"REPONER","OK"))</f>
        <v/>
      </c>
      <c r="J172" s="17"/>
      <c r="K172" s="18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3"/>
      <c r="B173" s="13"/>
      <c r="C173" s="13"/>
      <c r="D173" s="14"/>
      <c r="E173" s="15" t="str">
        <f aca="false">IF($B173="","",SUMIFS(Movimientos!$F$4:$F$303,Movimientos!$B$4:$B$303,$A173,Movimientos!$F$4:$F$303,"&gt;0"))</f>
        <v/>
      </c>
      <c r="F173" s="15" t="str">
        <f aca="false">IF($B173="","",-SUMIFS(Movimientos!$F$4:$F$303,Movimientos!$B$4:$B$303,$A173,Movimientos!$F$4:$F$303,"&lt;0"))</f>
        <v/>
      </c>
      <c r="G173" s="15" t="str">
        <f aca="false">IF($B173="","",N(D173)+E173-F173)</f>
        <v/>
      </c>
      <c r="H173" s="14"/>
      <c r="I173" s="16" t="str">
        <f aca="false">IF($B173="","",IF(G173&lt;=N(H173),"REPONER","OK"))</f>
        <v/>
      </c>
      <c r="J173" s="17"/>
      <c r="K173" s="18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3"/>
      <c r="B174" s="13"/>
      <c r="C174" s="13"/>
      <c r="D174" s="14"/>
      <c r="E174" s="15" t="str">
        <f aca="false">IF($B174="","",SUMIFS(Movimientos!$F$4:$F$303,Movimientos!$B$4:$B$303,$A174,Movimientos!$F$4:$F$303,"&gt;0"))</f>
        <v/>
      </c>
      <c r="F174" s="15" t="str">
        <f aca="false">IF($B174="","",-SUMIFS(Movimientos!$F$4:$F$303,Movimientos!$B$4:$B$303,$A174,Movimientos!$F$4:$F$303,"&lt;0"))</f>
        <v/>
      </c>
      <c r="G174" s="15" t="str">
        <f aca="false">IF($B174="","",N(D174)+E174-F174)</f>
        <v/>
      </c>
      <c r="H174" s="14"/>
      <c r="I174" s="16" t="str">
        <f aca="false">IF($B174="","",IF(G174&lt;=N(H174),"REPONER","OK"))</f>
        <v/>
      </c>
      <c r="J174" s="17"/>
      <c r="K174" s="18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3"/>
      <c r="B175" s="13"/>
      <c r="C175" s="13"/>
      <c r="D175" s="14"/>
      <c r="E175" s="15" t="str">
        <f aca="false">IF($B175="","",SUMIFS(Movimientos!$F$4:$F$303,Movimientos!$B$4:$B$303,$A175,Movimientos!$F$4:$F$303,"&gt;0"))</f>
        <v/>
      </c>
      <c r="F175" s="15" t="str">
        <f aca="false">IF($B175="","",-SUMIFS(Movimientos!$F$4:$F$303,Movimientos!$B$4:$B$303,$A175,Movimientos!$F$4:$F$303,"&lt;0"))</f>
        <v/>
      </c>
      <c r="G175" s="15" t="str">
        <f aca="false">IF($B175="","",N(D175)+E175-F175)</f>
        <v/>
      </c>
      <c r="H175" s="14"/>
      <c r="I175" s="16" t="str">
        <f aca="false">IF($B175="","",IF(G175&lt;=N(H175),"REPONER","OK"))</f>
        <v/>
      </c>
      <c r="J175" s="17"/>
      <c r="K175" s="18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3"/>
      <c r="B176" s="13"/>
      <c r="C176" s="13"/>
      <c r="D176" s="14"/>
      <c r="E176" s="15" t="str">
        <f aca="false">IF($B176="","",SUMIFS(Movimientos!$F$4:$F$303,Movimientos!$B$4:$B$303,$A176,Movimientos!$F$4:$F$303,"&gt;0"))</f>
        <v/>
      </c>
      <c r="F176" s="15" t="str">
        <f aca="false">IF($B176="","",-SUMIFS(Movimientos!$F$4:$F$303,Movimientos!$B$4:$B$303,$A176,Movimientos!$F$4:$F$303,"&lt;0"))</f>
        <v/>
      </c>
      <c r="G176" s="15" t="str">
        <f aca="false">IF($B176="","",N(D176)+E176-F176)</f>
        <v/>
      </c>
      <c r="H176" s="14"/>
      <c r="I176" s="16" t="str">
        <f aca="false">IF($B176="","",IF(G176&lt;=N(H176),"REPONER","OK"))</f>
        <v/>
      </c>
      <c r="J176" s="17"/>
      <c r="K176" s="18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3"/>
      <c r="B177" s="13"/>
      <c r="C177" s="13"/>
      <c r="D177" s="14"/>
      <c r="E177" s="15" t="str">
        <f aca="false">IF($B177="","",SUMIFS(Movimientos!$F$4:$F$303,Movimientos!$B$4:$B$303,$A177,Movimientos!$F$4:$F$303,"&gt;0"))</f>
        <v/>
      </c>
      <c r="F177" s="15" t="str">
        <f aca="false">IF($B177="","",-SUMIFS(Movimientos!$F$4:$F$303,Movimientos!$B$4:$B$303,$A177,Movimientos!$F$4:$F$303,"&lt;0"))</f>
        <v/>
      </c>
      <c r="G177" s="15" t="str">
        <f aca="false">IF($B177="","",N(D177)+E177-F177)</f>
        <v/>
      </c>
      <c r="H177" s="14"/>
      <c r="I177" s="16" t="str">
        <f aca="false">IF($B177="","",IF(G177&lt;=N(H177),"REPONER","OK"))</f>
        <v/>
      </c>
      <c r="J177" s="17"/>
      <c r="K177" s="18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3"/>
      <c r="B178" s="13"/>
      <c r="C178" s="13"/>
      <c r="D178" s="14"/>
      <c r="E178" s="15" t="str">
        <f aca="false">IF($B178="","",SUMIFS(Movimientos!$F$4:$F$303,Movimientos!$B$4:$B$303,$A178,Movimientos!$F$4:$F$303,"&gt;0"))</f>
        <v/>
      </c>
      <c r="F178" s="15" t="str">
        <f aca="false">IF($B178="","",-SUMIFS(Movimientos!$F$4:$F$303,Movimientos!$B$4:$B$303,$A178,Movimientos!$F$4:$F$303,"&lt;0"))</f>
        <v/>
      </c>
      <c r="G178" s="15" t="str">
        <f aca="false">IF($B178="","",N(D178)+E178-F178)</f>
        <v/>
      </c>
      <c r="H178" s="14"/>
      <c r="I178" s="16" t="str">
        <f aca="false">IF($B178="","",IF(G178&lt;=N(H178),"REPONER","OK"))</f>
        <v/>
      </c>
      <c r="J178" s="17"/>
      <c r="K178" s="18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3"/>
      <c r="B179" s="13"/>
      <c r="C179" s="13"/>
      <c r="D179" s="14"/>
      <c r="E179" s="15" t="str">
        <f aca="false">IF($B179="","",SUMIFS(Movimientos!$F$4:$F$303,Movimientos!$B$4:$B$303,$A179,Movimientos!$F$4:$F$303,"&gt;0"))</f>
        <v/>
      </c>
      <c r="F179" s="15" t="str">
        <f aca="false">IF($B179="","",-SUMIFS(Movimientos!$F$4:$F$303,Movimientos!$B$4:$B$303,$A179,Movimientos!$F$4:$F$303,"&lt;0"))</f>
        <v/>
      </c>
      <c r="G179" s="15" t="str">
        <f aca="false">IF($B179="","",N(D179)+E179-F179)</f>
        <v/>
      </c>
      <c r="H179" s="14"/>
      <c r="I179" s="16" t="str">
        <f aca="false">IF($B179="","",IF(G179&lt;=N(H179),"REPONER","OK"))</f>
        <v/>
      </c>
      <c r="J179" s="17"/>
      <c r="K179" s="18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3"/>
      <c r="B180" s="13"/>
      <c r="C180" s="13"/>
      <c r="D180" s="14"/>
      <c r="E180" s="15" t="str">
        <f aca="false">IF($B180="","",SUMIFS(Movimientos!$F$4:$F$303,Movimientos!$B$4:$B$303,$A180,Movimientos!$F$4:$F$303,"&gt;0"))</f>
        <v/>
      </c>
      <c r="F180" s="15" t="str">
        <f aca="false">IF($B180="","",-SUMIFS(Movimientos!$F$4:$F$303,Movimientos!$B$4:$B$303,$A180,Movimientos!$F$4:$F$303,"&lt;0"))</f>
        <v/>
      </c>
      <c r="G180" s="15" t="str">
        <f aca="false">IF($B180="","",N(D180)+E180-F180)</f>
        <v/>
      </c>
      <c r="H180" s="14"/>
      <c r="I180" s="16" t="str">
        <f aca="false">IF($B180="","",IF(G180&lt;=N(H180),"REPONER","OK"))</f>
        <v/>
      </c>
      <c r="J180" s="17"/>
      <c r="K180" s="18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3"/>
      <c r="B181" s="13"/>
      <c r="C181" s="13"/>
      <c r="D181" s="14"/>
      <c r="E181" s="15" t="str">
        <f aca="false">IF($B181="","",SUMIFS(Movimientos!$F$4:$F$303,Movimientos!$B$4:$B$303,$A181,Movimientos!$F$4:$F$303,"&gt;0"))</f>
        <v/>
      </c>
      <c r="F181" s="15" t="str">
        <f aca="false">IF($B181="","",-SUMIFS(Movimientos!$F$4:$F$303,Movimientos!$B$4:$B$303,$A181,Movimientos!$F$4:$F$303,"&lt;0"))</f>
        <v/>
      </c>
      <c r="G181" s="15" t="str">
        <f aca="false">IF($B181="","",N(D181)+E181-F181)</f>
        <v/>
      </c>
      <c r="H181" s="14"/>
      <c r="I181" s="16" t="str">
        <f aca="false">IF($B181="","",IF(G181&lt;=N(H181),"REPONER","OK"))</f>
        <v/>
      </c>
      <c r="J181" s="17"/>
      <c r="K181" s="18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3"/>
      <c r="B182" s="13"/>
      <c r="C182" s="13"/>
      <c r="D182" s="14"/>
      <c r="E182" s="15" t="str">
        <f aca="false">IF($B182="","",SUMIFS(Movimientos!$F$4:$F$303,Movimientos!$B$4:$B$303,$A182,Movimientos!$F$4:$F$303,"&gt;0"))</f>
        <v/>
      </c>
      <c r="F182" s="15" t="str">
        <f aca="false">IF($B182="","",-SUMIFS(Movimientos!$F$4:$F$303,Movimientos!$B$4:$B$303,$A182,Movimientos!$F$4:$F$303,"&lt;0"))</f>
        <v/>
      </c>
      <c r="G182" s="15" t="str">
        <f aca="false">IF($B182="","",N(D182)+E182-F182)</f>
        <v/>
      </c>
      <c r="H182" s="14"/>
      <c r="I182" s="16" t="str">
        <f aca="false">IF($B182="","",IF(G182&lt;=N(H182),"REPONER","OK"))</f>
        <v/>
      </c>
      <c r="J182" s="17"/>
      <c r="K182" s="18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3"/>
      <c r="B183" s="13"/>
      <c r="C183" s="13"/>
      <c r="D183" s="14"/>
      <c r="E183" s="15" t="str">
        <f aca="false">IF($B183="","",SUMIFS(Movimientos!$F$4:$F$303,Movimientos!$B$4:$B$303,$A183,Movimientos!$F$4:$F$303,"&gt;0"))</f>
        <v/>
      </c>
      <c r="F183" s="15" t="str">
        <f aca="false">IF($B183="","",-SUMIFS(Movimientos!$F$4:$F$303,Movimientos!$B$4:$B$303,$A183,Movimientos!$F$4:$F$303,"&lt;0"))</f>
        <v/>
      </c>
      <c r="G183" s="15" t="str">
        <f aca="false">IF($B183="","",N(D183)+E183-F183)</f>
        <v/>
      </c>
      <c r="H183" s="14"/>
      <c r="I183" s="16" t="str">
        <f aca="false">IF($B183="","",IF(G183&lt;=N(H183),"REPONER","OK"))</f>
        <v/>
      </c>
      <c r="J183" s="17"/>
      <c r="K183" s="18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3"/>
      <c r="B184" s="13"/>
      <c r="C184" s="13"/>
      <c r="D184" s="14"/>
      <c r="E184" s="15" t="str">
        <f aca="false">IF($B184="","",SUMIFS(Movimientos!$F$4:$F$303,Movimientos!$B$4:$B$303,$A184,Movimientos!$F$4:$F$303,"&gt;0"))</f>
        <v/>
      </c>
      <c r="F184" s="15" t="str">
        <f aca="false">IF($B184="","",-SUMIFS(Movimientos!$F$4:$F$303,Movimientos!$B$4:$B$303,$A184,Movimientos!$F$4:$F$303,"&lt;0"))</f>
        <v/>
      </c>
      <c r="G184" s="15" t="str">
        <f aca="false">IF($B184="","",N(D184)+E184-F184)</f>
        <v/>
      </c>
      <c r="H184" s="14"/>
      <c r="I184" s="16" t="str">
        <f aca="false">IF($B184="","",IF(G184&lt;=N(H184),"REPONER","OK"))</f>
        <v/>
      </c>
      <c r="J184" s="17"/>
      <c r="K184" s="18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3"/>
      <c r="B185" s="13"/>
      <c r="C185" s="13"/>
      <c r="D185" s="14"/>
      <c r="E185" s="15" t="str">
        <f aca="false">IF($B185="","",SUMIFS(Movimientos!$F$4:$F$303,Movimientos!$B$4:$B$303,$A185,Movimientos!$F$4:$F$303,"&gt;0"))</f>
        <v/>
      </c>
      <c r="F185" s="15" t="str">
        <f aca="false">IF($B185="","",-SUMIFS(Movimientos!$F$4:$F$303,Movimientos!$B$4:$B$303,$A185,Movimientos!$F$4:$F$303,"&lt;0"))</f>
        <v/>
      </c>
      <c r="G185" s="15" t="str">
        <f aca="false">IF($B185="","",N(D185)+E185-F185)</f>
        <v/>
      </c>
      <c r="H185" s="14"/>
      <c r="I185" s="16" t="str">
        <f aca="false">IF($B185="","",IF(G185&lt;=N(H185),"REPONER","OK"))</f>
        <v/>
      </c>
      <c r="J185" s="17"/>
      <c r="K185" s="18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3"/>
      <c r="B186" s="13"/>
      <c r="C186" s="13"/>
      <c r="D186" s="14"/>
      <c r="E186" s="15" t="str">
        <f aca="false">IF($B186="","",SUMIFS(Movimientos!$F$4:$F$303,Movimientos!$B$4:$B$303,$A186,Movimientos!$F$4:$F$303,"&gt;0"))</f>
        <v/>
      </c>
      <c r="F186" s="15" t="str">
        <f aca="false">IF($B186="","",-SUMIFS(Movimientos!$F$4:$F$303,Movimientos!$B$4:$B$303,$A186,Movimientos!$F$4:$F$303,"&lt;0"))</f>
        <v/>
      </c>
      <c r="G186" s="15" t="str">
        <f aca="false">IF($B186="","",N(D186)+E186-F186)</f>
        <v/>
      </c>
      <c r="H186" s="14"/>
      <c r="I186" s="16" t="str">
        <f aca="false">IF($B186="","",IF(G186&lt;=N(H186),"REPONER","OK"))</f>
        <v/>
      </c>
      <c r="J186" s="17"/>
      <c r="K186" s="18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3"/>
      <c r="B187" s="13"/>
      <c r="C187" s="13"/>
      <c r="D187" s="14"/>
      <c r="E187" s="15" t="str">
        <f aca="false">IF($B187="","",SUMIFS(Movimientos!$F$4:$F$303,Movimientos!$B$4:$B$303,$A187,Movimientos!$F$4:$F$303,"&gt;0"))</f>
        <v/>
      </c>
      <c r="F187" s="15" t="str">
        <f aca="false">IF($B187="","",-SUMIFS(Movimientos!$F$4:$F$303,Movimientos!$B$4:$B$303,$A187,Movimientos!$F$4:$F$303,"&lt;0"))</f>
        <v/>
      </c>
      <c r="G187" s="15" t="str">
        <f aca="false">IF($B187="","",N(D187)+E187-F187)</f>
        <v/>
      </c>
      <c r="H187" s="14"/>
      <c r="I187" s="16" t="str">
        <f aca="false">IF($B187="","",IF(G187&lt;=N(H187),"REPONER","OK"))</f>
        <v/>
      </c>
      <c r="J187" s="17"/>
      <c r="K187" s="18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3"/>
      <c r="B188" s="13"/>
      <c r="C188" s="13"/>
      <c r="D188" s="14"/>
      <c r="E188" s="15" t="str">
        <f aca="false">IF($B188="","",SUMIFS(Movimientos!$F$4:$F$303,Movimientos!$B$4:$B$303,$A188,Movimientos!$F$4:$F$303,"&gt;0"))</f>
        <v/>
      </c>
      <c r="F188" s="15" t="str">
        <f aca="false">IF($B188="","",-SUMIFS(Movimientos!$F$4:$F$303,Movimientos!$B$4:$B$303,$A188,Movimientos!$F$4:$F$303,"&lt;0"))</f>
        <v/>
      </c>
      <c r="G188" s="15" t="str">
        <f aca="false">IF($B188="","",N(D188)+E188-F188)</f>
        <v/>
      </c>
      <c r="H188" s="14"/>
      <c r="I188" s="16" t="str">
        <f aca="false">IF($B188="","",IF(G188&lt;=N(H188),"REPONER","OK"))</f>
        <v/>
      </c>
      <c r="J188" s="17"/>
      <c r="K188" s="18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3"/>
      <c r="B189" s="13"/>
      <c r="C189" s="13"/>
      <c r="D189" s="14"/>
      <c r="E189" s="15" t="str">
        <f aca="false">IF($B189="","",SUMIFS(Movimientos!$F$4:$F$303,Movimientos!$B$4:$B$303,$A189,Movimientos!$F$4:$F$303,"&gt;0"))</f>
        <v/>
      </c>
      <c r="F189" s="15" t="str">
        <f aca="false">IF($B189="","",-SUMIFS(Movimientos!$F$4:$F$303,Movimientos!$B$4:$B$303,$A189,Movimientos!$F$4:$F$303,"&lt;0"))</f>
        <v/>
      </c>
      <c r="G189" s="15" t="str">
        <f aca="false">IF($B189="","",N(D189)+E189-F189)</f>
        <v/>
      </c>
      <c r="H189" s="14"/>
      <c r="I189" s="16" t="str">
        <f aca="false">IF($B189="","",IF(G189&lt;=N(H189),"REPONER","OK"))</f>
        <v/>
      </c>
      <c r="J189" s="17"/>
      <c r="K189" s="18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3"/>
      <c r="B190" s="13"/>
      <c r="C190" s="13"/>
      <c r="D190" s="14"/>
      <c r="E190" s="15" t="str">
        <f aca="false">IF($B190="","",SUMIFS(Movimientos!$F$4:$F$303,Movimientos!$B$4:$B$303,$A190,Movimientos!$F$4:$F$303,"&gt;0"))</f>
        <v/>
      </c>
      <c r="F190" s="15" t="str">
        <f aca="false">IF($B190="","",-SUMIFS(Movimientos!$F$4:$F$303,Movimientos!$B$4:$B$303,$A190,Movimientos!$F$4:$F$303,"&lt;0"))</f>
        <v/>
      </c>
      <c r="G190" s="15" t="str">
        <f aca="false">IF($B190="","",N(D190)+E190-F190)</f>
        <v/>
      </c>
      <c r="H190" s="14"/>
      <c r="I190" s="16" t="str">
        <f aca="false">IF($B190="","",IF(G190&lt;=N(H190),"REPONER","OK"))</f>
        <v/>
      </c>
      <c r="J190" s="17"/>
      <c r="K190" s="18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3"/>
      <c r="B191" s="13"/>
      <c r="C191" s="13"/>
      <c r="D191" s="14"/>
      <c r="E191" s="15" t="str">
        <f aca="false">IF($B191="","",SUMIFS(Movimientos!$F$4:$F$303,Movimientos!$B$4:$B$303,$A191,Movimientos!$F$4:$F$303,"&gt;0"))</f>
        <v/>
      </c>
      <c r="F191" s="15" t="str">
        <f aca="false">IF($B191="","",-SUMIFS(Movimientos!$F$4:$F$303,Movimientos!$B$4:$B$303,$A191,Movimientos!$F$4:$F$303,"&lt;0"))</f>
        <v/>
      </c>
      <c r="G191" s="15" t="str">
        <f aca="false">IF($B191="","",N(D191)+E191-F191)</f>
        <v/>
      </c>
      <c r="H191" s="14"/>
      <c r="I191" s="16" t="str">
        <f aca="false">IF($B191="","",IF(G191&lt;=N(H191),"REPONER","OK"))</f>
        <v/>
      </c>
      <c r="J191" s="17"/>
      <c r="K191" s="18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3"/>
      <c r="B192" s="13"/>
      <c r="C192" s="13"/>
      <c r="D192" s="14"/>
      <c r="E192" s="15" t="str">
        <f aca="false">IF($B192="","",SUMIFS(Movimientos!$F$4:$F$303,Movimientos!$B$4:$B$303,$A192,Movimientos!$F$4:$F$303,"&gt;0"))</f>
        <v/>
      </c>
      <c r="F192" s="15" t="str">
        <f aca="false">IF($B192="","",-SUMIFS(Movimientos!$F$4:$F$303,Movimientos!$B$4:$B$303,$A192,Movimientos!$F$4:$F$303,"&lt;0"))</f>
        <v/>
      </c>
      <c r="G192" s="15" t="str">
        <f aca="false">IF($B192="","",N(D192)+E192-F192)</f>
        <v/>
      </c>
      <c r="H192" s="14"/>
      <c r="I192" s="16" t="str">
        <f aca="false">IF($B192="","",IF(G192&lt;=N(H192),"REPONER","OK"))</f>
        <v/>
      </c>
      <c r="J192" s="17"/>
      <c r="K192" s="18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3"/>
      <c r="B193" s="13"/>
      <c r="C193" s="13"/>
      <c r="D193" s="14"/>
      <c r="E193" s="15" t="str">
        <f aca="false">IF($B193="","",SUMIFS(Movimientos!$F$4:$F$303,Movimientos!$B$4:$B$303,$A193,Movimientos!$F$4:$F$303,"&gt;0"))</f>
        <v/>
      </c>
      <c r="F193" s="15" t="str">
        <f aca="false">IF($B193="","",-SUMIFS(Movimientos!$F$4:$F$303,Movimientos!$B$4:$B$303,$A193,Movimientos!$F$4:$F$303,"&lt;0"))</f>
        <v/>
      </c>
      <c r="G193" s="15" t="str">
        <f aca="false">IF($B193="","",N(D193)+E193-F193)</f>
        <v/>
      </c>
      <c r="H193" s="14"/>
      <c r="I193" s="16" t="str">
        <f aca="false">IF($B193="","",IF(G193&lt;=N(H193),"REPONER","OK"))</f>
        <v/>
      </c>
      <c r="J193" s="17"/>
      <c r="K193" s="18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3"/>
      <c r="B194" s="13"/>
      <c r="C194" s="13"/>
      <c r="D194" s="14"/>
      <c r="E194" s="15" t="str">
        <f aca="false">IF($B194="","",SUMIFS(Movimientos!$F$4:$F$303,Movimientos!$B$4:$B$303,$A194,Movimientos!$F$4:$F$303,"&gt;0"))</f>
        <v/>
      </c>
      <c r="F194" s="15" t="str">
        <f aca="false">IF($B194="","",-SUMIFS(Movimientos!$F$4:$F$303,Movimientos!$B$4:$B$303,$A194,Movimientos!$F$4:$F$303,"&lt;0"))</f>
        <v/>
      </c>
      <c r="G194" s="15" t="str">
        <f aca="false">IF($B194="","",N(D194)+E194-F194)</f>
        <v/>
      </c>
      <c r="H194" s="14"/>
      <c r="I194" s="16" t="str">
        <f aca="false">IF($B194="","",IF(G194&lt;=N(H194),"REPONER","OK"))</f>
        <v/>
      </c>
      <c r="J194" s="17"/>
      <c r="K194" s="18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3"/>
      <c r="B195" s="13"/>
      <c r="C195" s="13"/>
      <c r="D195" s="14"/>
      <c r="E195" s="15" t="str">
        <f aca="false">IF($B195="","",SUMIFS(Movimientos!$F$4:$F$303,Movimientos!$B$4:$B$303,$A195,Movimientos!$F$4:$F$303,"&gt;0"))</f>
        <v/>
      </c>
      <c r="F195" s="15" t="str">
        <f aca="false">IF($B195="","",-SUMIFS(Movimientos!$F$4:$F$303,Movimientos!$B$4:$B$303,$A195,Movimientos!$F$4:$F$303,"&lt;0"))</f>
        <v/>
      </c>
      <c r="G195" s="15" t="str">
        <f aca="false">IF($B195="","",N(D195)+E195-F195)</f>
        <v/>
      </c>
      <c r="H195" s="14"/>
      <c r="I195" s="16" t="str">
        <f aca="false">IF($B195="","",IF(G195&lt;=N(H195),"REPONER","OK"))</f>
        <v/>
      </c>
      <c r="J195" s="17"/>
      <c r="K195" s="18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3"/>
      <c r="B196" s="13"/>
      <c r="C196" s="13"/>
      <c r="D196" s="14"/>
      <c r="E196" s="15" t="str">
        <f aca="false">IF($B196="","",SUMIFS(Movimientos!$F$4:$F$303,Movimientos!$B$4:$B$303,$A196,Movimientos!$F$4:$F$303,"&gt;0"))</f>
        <v/>
      </c>
      <c r="F196" s="15" t="str">
        <f aca="false">IF($B196="","",-SUMIFS(Movimientos!$F$4:$F$303,Movimientos!$B$4:$B$303,$A196,Movimientos!$F$4:$F$303,"&lt;0"))</f>
        <v/>
      </c>
      <c r="G196" s="15" t="str">
        <f aca="false">IF($B196="","",N(D196)+E196-F196)</f>
        <v/>
      </c>
      <c r="H196" s="14"/>
      <c r="I196" s="16" t="str">
        <f aca="false">IF($B196="","",IF(G196&lt;=N(H196),"REPONER","OK"))</f>
        <v/>
      </c>
      <c r="J196" s="17"/>
      <c r="K196" s="18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3"/>
      <c r="B197" s="13"/>
      <c r="C197" s="13"/>
      <c r="D197" s="14"/>
      <c r="E197" s="15" t="str">
        <f aca="false">IF($B197="","",SUMIFS(Movimientos!$F$4:$F$303,Movimientos!$B$4:$B$303,$A197,Movimientos!$F$4:$F$303,"&gt;0"))</f>
        <v/>
      </c>
      <c r="F197" s="15" t="str">
        <f aca="false">IF($B197="","",-SUMIFS(Movimientos!$F$4:$F$303,Movimientos!$B$4:$B$303,$A197,Movimientos!$F$4:$F$303,"&lt;0"))</f>
        <v/>
      </c>
      <c r="G197" s="15" t="str">
        <f aca="false">IF($B197="","",N(D197)+E197-F197)</f>
        <v/>
      </c>
      <c r="H197" s="14"/>
      <c r="I197" s="16" t="str">
        <f aca="false">IF($B197="","",IF(G197&lt;=N(H197),"REPONER","OK"))</f>
        <v/>
      </c>
      <c r="J197" s="17"/>
      <c r="K197" s="18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3"/>
      <c r="B198" s="13"/>
      <c r="C198" s="13"/>
      <c r="D198" s="14"/>
      <c r="E198" s="15" t="str">
        <f aca="false">IF($B198="","",SUMIFS(Movimientos!$F$4:$F$303,Movimientos!$B$4:$B$303,$A198,Movimientos!$F$4:$F$303,"&gt;0"))</f>
        <v/>
      </c>
      <c r="F198" s="15" t="str">
        <f aca="false">IF($B198="","",-SUMIFS(Movimientos!$F$4:$F$303,Movimientos!$B$4:$B$303,$A198,Movimientos!$F$4:$F$303,"&lt;0"))</f>
        <v/>
      </c>
      <c r="G198" s="15" t="str">
        <f aca="false">IF($B198="","",N(D198)+E198-F198)</f>
        <v/>
      </c>
      <c r="H198" s="14"/>
      <c r="I198" s="16" t="str">
        <f aca="false">IF($B198="","",IF(G198&lt;=N(H198),"REPONER","OK"))</f>
        <v/>
      </c>
      <c r="J198" s="17"/>
      <c r="K198" s="18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3"/>
      <c r="B199" s="13"/>
      <c r="C199" s="13"/>
      <c r="D199" s="14"/>
      <c r="E199" s="15" t="str">
        <f aca="false">IF($B199="","",SUMIFS(Movimientos!$F$4:$F$303,Movimientos!$B$4:$B$303,$A199,Movimientos!$F$4:$F$303,"&gt;0"))</f>
        <v/>
      </c>
      <c r="F199" s="15" t="str">
        <f aca="false">IF($B199="","",-SUMIFS(Movimientos!$F$4:$F$303,Movimientos!$B$4:$B$303,$A199,Movimientos!$F$4:$F$303,"&lt;0"))</f>
        <v/>
      </c>
      <c r="G199" s="15" t="str">
        <f aca="false">IF($B199="","",N(D199)+E199-F199)</f>
        <v/>
      </c>
      <c r="H199" s="14"/>
      <c r="I199" s="16" t="str">
        <f aca="false">IF($B199="","",IF(G199&lt;=N(H199),"REPONER","OK"))</f>
        <v/>
      </c>
      <c r="J199" s="17"/>
      <c r="K199" s="18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3"/>
      <c r="B200" s="13"/>
      <c r="C200" s="13"/>
      <c r="D200" s="14"/>
      <c r="E200" s="15" t="str">
        <f aca="false">IF($B200="","",SUMIFS(Movimientos!$F$4:$F$303,Movimientos!$B$4:$B$303,$A200,Movimientos!$F$4:$F$303,"&gt;0"))</f>
        <v/>
      </c>
      <c r="F200" s="15" t="str">
        <f aca="false">IF($B200="","",-SUMIFS(Movimientos!$F$4:$F$303,Movimientos!$B$4:$B$303,$A200,Movimientos!$F$4:$F$303,"&lt;0"))</f>
        <v/>
      </c>
      <c r="G200" s="15" t="str">
        <f aca="false">IF($B200="","",N(D200)+E200-F200)</f>
        <v/>
      </c>
      <c r="H200" s="14"/>
      <c r="I200" s="16" t="str">
        <f aca="false">IF($B200="","",IF(G200&lt;=N(H200),"REPONER","OK"))</f>
        <v/>
      </c>
      <c r="J200" s="17"/>
      <c r="K200" s="18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3"/>
      <c r="B201" s="13"/>
      <c r="C201" s="13"/>
      <c r="D201" s="14"/>
      <c r="E201" s="15" t="str">
        <f aca="false">IF($B201="","",SUMIFS(Movimientos!$F$4:$F$303,Movimientos!$B$4:$B$303,$A201,Movimientos!$F$4:$F$303,"&gt;0"))</f>
        <v/>
      </c>
      <c r="F201" s="15" t="str">
        <f aca="false">IF($B201="","",-SUMIFS(Movimientos!$F$4:$F$303,Movimientos!$B$4:$B$303,$A201,Movimientos!$F$4:$F$303,"&lt;0"))</f>
        <v/>
      </c>
      <c r="G201" s="15" t="str">
        <f aca="false">IF($B201="","",N(D201)+E201-F201)</f>
        <v/>
      </c>
      <c r="H201" s="14"/>
      <c r="I201" s="16" t="str">
        <f aca="false">IF($B201="","",IF(G201&lt;=N(H201),"REPONER","OK"))</f>
        <v/>
      </c>
      <c r="J201" s="17"/>
      <c r="K201" s="18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3"/>
      <c r="B202" s="13"/>
      <c r="C202" s="13"/>
      <c r="D202" s="14"/>
      <c r="E202" s="15" t="str">
        <f aca="false">IF($B202="","",SUMIFS(Movimientos!$F$4:$F$303,Movimientos!$B$4:$B$303,$A202,Movimientos!$F$4:$F$303,"&gt;0"))</f>
        <v/>
      </c>
      <c r="F202" s="15" t="str">
        <f aca="false">IF($B202="","",-SUMIFS(Movimientos!$F$4:$F$303,Movimientos!$B$4:$B$303,$A202,Movimientos!$F$4:$F$303,"&lt;0"))</f>
        <v/>
      </c>
      <c r="G202" s="15" t="str">
        <f aca="false">IF($B202="","",N(D202)+E202-F202)</f>
        <v/>
      </c>
      <c r="H202" s="14"/>
      <c r="I202" s="16" t="str">
        <f aca="false">IF($B202="","",IF(G202&lt;=N(H202),"REPONER","OK"))</f>
        <v/>
      </c>
      <c r="J202" s="17"/>
      <c r="K202" s="18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3"/>
      <c r="B203" s="13"/>
      <c r="C203" s="13"/>
      <c r="D203" s="14"/>
      <c r="E203" s="15" t="str">
        <f aca="false">IF($B203="","",SUMIFS(Movimientos!$F$4:$F$303,Movimientos!$B$4:$B$303,$A203,Movimientos!$F$4:$F$303,"&gt;0"))</f>
        <v/>
      </c>
      <c r="F203" s="15" t="str">
        <f aca="false">IF($B203="","",-SUMIFS(Movimientos!$F$4:$F$303,Movimientos!$B$4:$B$303,$A203,Movimientos!$F$4:$F$303,"&lt;0"))</f>
        <v/>
      </c>
      <c r="G203" s="15" t="str">
        <f aca="false">IF($B203="","",N(D203)+E203-F203)</f>
        <v/>
      </c>
      <c r="H203" s="14"/>
      <c r="I203" s="16" t="str">
        <f aca="false">IF($B203="","",IF(G203&lt;=N(H203),"REPONER","OK"))</f>
        <v/>
      </c>
      <c r="J203" s="17"/>
      <c r="K203" s="18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3"/>
      <c r="B204" s="13"/>
      <c r="C204" s="13"/>
      <c r="D204" s="14"/>
      <c r="E204" s="15" t="str">
        <f aca="false">IF($B204="","",SUMIFS(Movimientos!$F$4:$F$303,Movimientos!$B$4:$B$303,$A204,Movimientos!$F$4:$F$303,"&gt;0"))</f>
        <v/>
      </c>
      <c r="F204" s="15" t="str">
        <f aca="false">IF($B204="","",-SUMIFS(Movimientos!$F$4:$F$303,Movimientos!$B$4:$B$303,$A204,Movimientos!$F$4:$F$303,"&lt;0"))</f>
        <v/>
      </c>
      <c r="G204" s="15" t="str">
        <f aca="false">IF($B204="","",N(D204)+E204-F204)</f>
        <v/>
      </c>
      <c r="H204" s="14"/>
      <c r="I204" s="16" t="str">
        <f aca="false">IF($B204="","",IF(G204&lt;=N(H204),"REPONER","OK"))</f>
        <v/>
      </c>
      <c r="J204" s="17"/>
      <c r="K204" s="18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3"/>
      <c r="B205" s="13"/>
      <c r="C205" s="13"/>
      <c r="D205" s="14"/>
      <c r="E205" s="15" t="str">
        <f aca="false">IF($B205="","",SUMIFS(Movimientos!$F$4:$F$303,Movimientos!$B$4:$B$303,$A205,Movimientos!$F$4:$F$303,"&gt;0"))</f>
        <v/>
      </c>
      <c r="F205" s="15" t="str">
        <f aca="false">IF($B205="","",-SUMIFS(Movimientos!$F$4:$F$303,Movimientos!$B$4:$B$303,$A205,Movimientos!$F$4:$F$303,"&lt;0"))</f>
        <v/>
      </c>
      <c r="G205" s="15" t="str">
        <f aca="false">IF($B205="","",N(D205)+E205-F205)</f>
        <v/>
      </c>
      <c r="H205" s="14"/>
      <c r="I205" s="16" t="str">
        <f aca="false">IF($B205="","",IF(G205&lt;=N(H205),"REPONER","OK"))</f>
        <v/>
      </c>
      <c r="J205" s="17"/>
      <c r="K205" s="18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3"/>
      <c r="B206" s="13"/>
      <c r="C206" s="13"/>
      <c r="D206" s="14"/>
      <c r="E206" s="15" t="str">
        <f aca="false">IF($B206="","",SUMIFS(Movimientos!$F$4:$F$303,Movimientos!$B$4:$B$303,$A206,Movimientos!$F$4:$F$303,"&gt;0"))</f>
        <v/>
      </c>
      <c r="F206" s="15" t="str">
        <f aca="false">IF($B206="","",-SUMIFS(Movimientos!$F$4:$F$303,Movimientos!$B$4:$B$303,$A206,Movimientos!$F$4:$F$303,"&lt;0"))</f>
        <v/>
      </c>
      <c r="G206" s="15" t="str">
        <f aca="false">IF($B206="","",N(D206)+E206-F206)</f>
        <v/>
      </c>
      <c r="H206" s="14"/>
      <c r="I206" s="16" t="str">
        <f aca="false">IF($B206="","",IF(G206&lt;=N(H206),"REPONER","OK"))</f>
        <v/>
      </c>
      <c r="J206" s="17"/>
      <c r="K206" s="18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3"/>
      <c r="B207" s="13"/>
      <c r="C207" s="13"/>
      <c r="D207" s="14"/>
      <c r="E207" s="15" t="str">
        <f aca="false">IF($B207="","",SUMIFS(Movimientos!$F$4:$F$303,Movimientos!$B$4:$B$303,$A207,Movimientos!$F$4:$F$303,"&gt;0"))</f>
        <v/>
      </c>
      <c r="F207" s="15" t="str">
        <f aca="false">IF($B207="","",-SUMIFS(Movimientos!$F$4:$F$303,Movimientos!$B$4:$B$303,$A207,Movimientos!$F$4:$F$303,"&lt;0"))</f>
        <v/>
      </c>
      <c r="G207" s="15" t="str">
        <f aca="false">IF($B207="","",N(D207)+E207-F207)</f>
        <v/>
      </c>
      <c r="H207" s="14"/>
      <c r="I207" s="16" t="str">
        <f aca="false">IF($B207="","",IF(G207&lt;=N(H207),"REPONER","OK"))</f>
        <v/>
      </c>
      <c r="J207" s="17"/>
      <c r="K207" s="18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3"/>
      <c r="B208" s="13"/>
      <c r="C208" s="13"/>
      <c r="D208" s="14"/>
      <c r="E208" s="15" t="str">
        <f aca="false">IF($B208="","",SUMIFS(Movimientos!$F$4:$F$303,Movimientos!$B$4:$B$303,$A208,Movimientos!$F$4:$F$303,"&gt;0"))</f>
        <v/>
      </c>
      <c r="F208" s="15" t="str">
        <f aca="false">IF($B208="","",-SUMIFS(Movimientos!$F$4:$F$303,Movimientos!$B$4:$B$303,$A208,Movimientos!$F$4:$F$303,"&lt;0"))</f>
        <v/>
      </c>
      <c r="G208" s="15" t="str">
        <f aca="false">IF($B208="","",N(D208)+E208-F208)</f>
        <v/>
      </c>
      <c r="H208" s="14"/>
      <c r="I208" s="16" t="str">
        <f aca="false">IF($B208="","",IF(G208&lt;=N(H208),"REPONER","OK"))</f>
        <v/>
      </c>
      <c r="J208" s="17"/>
      <c r="K208" s="18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3"/>
      <c r="B209" s="13"/>
      <c r="C209" s="13"/>
      <c r="D209" s="14"/>
      <c r="E209" s="15" t="str">
        <f aca="false">IF($B209="","",SUMIFS(Movimientos!$F$4:$F$303,Movimientos!$B$4:$B$303,$A209,Movimientos!$F$4:$F$303,"&gt;0"))</f>
        <v/>
      </c>
      <c r="F209" s="15" t="str">
        <f aca="false">IF($B209="","",-SUMIFS(Movimientos!$F$4:$F$303,Movimientos!$B$4:$B$303,$A209,Movimientos!$F$4:$F$303,"&lt;0"))</f>
        <v/>
      </c>
      <c r="G209" s="15" t="str">
        <f aca="false">IF($B209="","",N(D209)+E209-F209)</f>
        <v/>
      </c>
      <c r="H209" s="14"/>
      <c r="I209" s="16" t="str">
        <f aca="false">IF($B209="","",IF(G209&lt;=N(H209),"REPONER","OK"))</f>
        <v/>
      </c>
      <c r="J209" s="17"/>
      <c r="K209" s="18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3"/>
      <c r="B210" s="13"/>
      <c r="C210" s="13"/>
      <c r="D210" s="14"/>
      <c r="E210" s="15" t="str">
        <f aca="false">IF($B210="","",SUMIFS(Movimientos!$F$4:$F$303,Movimientos!$B$4:$B$303,$A210,Movimientos!$F$4:$F$303,"&gt;0"))</f>
        <v/>
      </c>
      <c r="F210" s="15" t="str">
        <f aca="false">IF($B210="","",-SUMIFS(Movimientos!$F$4:$F$303,Movimientos!$B$4:$B$303,$A210,Movimientos!$F$4:$F$303,"&lt;0"))</f>
        <v/>
      </c>
      <c r="G210" s="15" t="str">
        <f aca="false">IF($B210="","",N(D210)+E210-F210)</f>
        <v/>
      </c>
      <c r="H210" s="14"/>
      <c r="I210" s="16" t="str">
        <f aca="false">IF($B210="","",IF(G210&lt;=N(H210),"REPONER","OK"))</f>
        <v/>
      </c>
      <c r="J210" s="17"/>
      <c r="K210" s="18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3"/>
      <c r="B211" s="13"/>
      <c r="C211" s="13"/>
      <c r="D211" s="14"/>
      <c r="E211" s="15" t="str">
        <f aca="false">IF($B211="","",SUMIFS(Movimientos!$F$4:$F$303,Movimientos!$B$4:$B$303,$A211,Movimientos!$F$4:$F$303,"&gt;0"))</f>
        <v/>
      </c>
      <c r="F211" s="15" t="str">
        <f aca="false">IF($B211="","",-SUMIFS(Movimientos!$F$4:$F$303,Movimientos!$B$4:$B$303,$A211,Movimientos!$F$4:$F$303,"&lt;0"))</f>
        <v/>
      </c>
      <c r="G211" s="15" t="str">
        <f aca="false">IF($B211="","",N(D211)+E211-F211)</f>
        <v/>
      </c>
      <c r="H211" s="14"/>
      <c r="I211" s="16" t="str">
        <f aca="false">IF($B211="","",IF(G211&lt;=N(H211),"REPONER","OK"))</f>
        <v/>
      </c>
      <c r="J211" s="17"/>
      <c r="K211" s="18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2" t="s">
        <v>40</v>
      </c>
      <c r="B3" s="12" t="s">
        <v>9</v>
      </c>
      <c r="C3" s="12" t="s">
        <v>41</v>
      </c>
      <c r="D3" s="12" t="s">
        <v>42</v>
      </c>
      <c r="E3" s="12" t="s">
        <v>43</v>
      </c>
      <c r="F3" s="12" t="s">
        <v>44</v>
      </c>
      <c r="G3" s="12" t="s">
        <v>45</v>
      </c>
    </row>
    <row r="4" customFormat="false" ht="15" hidden="false" customHeight="false" outlineLevel="0" collapsed="false">
      <c r="A4" s="13" t="s">
        <v>46</v>
      </c>
      <c r="B4" s="13" t="s">
        <v>18</v>
      </c>
      <c r="C4" s="13" t="s">
        <v>47</v>
      </c>
      <c r="D4" s="14" t="n">
        <v>60</v>
      </c>
      <c r="E4" s="19" t="str">
        <f aca="false">IF($B4="","",IFERROR(INDEX(Inventario!$B$12:$B$211,MATCH($B4,Inventario!$A$12:$A$211,0)),"⚠ código no existe"))</f>
        <v>Arroz × 500 g</v>
      </c>
      <c r="F4" s="15" t="n">
        <f aca="false">IF(OR($B4="",$C4="",$D4=""),"",N($D4)*INDEX(Config!$B$7:$K$7,MATCH($C4,Config!$B$6:$K$6,0)))</f>
        <v>60</v>
      </c>
      <c r="G4" s="13"/>
    </row>
    <row r="5" customFormat="false" ht="15" hidden="false" customHeight="false" outlineLevel="0" collapsed="false">
      <c r="A5" s="13" t="s">
        <v>46</v>
      </c>
      <c r="B5" s="13" t="s">
        <v>23</v>
      </c>
      <c r="C5" s="13" t="s">
        <v>47</v>
      </c>
      <c r="D5" s="14" t="n">
        <v>20</v>
      </c>
      <c r="E5" s="19" t="str">
        <f aca="false">IF($B5="","",IFERROR(INDEX(Inventario!$B$12:$B$211,MATCH($B5,Inventario!$A$12:$A$211,0)),"⚠ código no existe"))</f>
        <v>Azúcar × 1 kg</v>
      </c>
      <c r="F5" s="15" t="n">
        <f aca="false">IF(OR($B5="",$C5="",$D5=""),"",N($D5)*INDEX(Config!$B$7:$K$7,MATCH($C5,Config!$B$6:$K$6,0)))</f>
        <v>20</v>
      </c>
      <c r="G5" s="13"/>
    </row>
    <row r="6" customFormat="false" ht="15" hidden="false" customHeight="false" outlineLevel="0" collapsed="false">
      <c r="A6" s="13" t="s">
        <v>48</v>
      </c>
      <c r="B6" s="13" t="s">
        <v>25</v>
      </c>
      <c r="C6" s="13" t="s">
        <v>47</v>
      </c>
      <c r="D6" s="14" t="n">
        <v>30</v>
      </c>
      <c r="E6" s="19" t="str">
        <f aca="false">IF($B6="","",IFERROR(INDEX(Inventario!$B$12:$B$211,MATCH($B6,Inventario!$A$12:$A$211,0)),"⚠ código no existe"))</f>
        <v>Leche entera 1 L</v>
      </c>
      <c r="F6" s="15" t="n">
        <f aca="false">IF(OR($B6="",$C6="",$D6=""),"",N($D6)*INDEX(Config!$B$7:$K$7,MATCH($C6,Config!$B$6:$K$6,0)))</f>
        <v>30</v>
      </c>
      <c r="G6" s="13"/>
    </row>
    <row r="7" customFormat="false" ht="15" hidden="false" customHeight="false" outlineLevel="0" collapsed="false">
      <c r="A7" s="13" t="s">
        <v>48</v>
      </c>
      <c r="B7" s="13" t="s">
        <v>28</v>
      </c>
      <c r="C7" s="13" t="s">
        <v>47</v>
      </c>
      <c r="D7" s="14" t="n">
        <v>24</v>
      </c>
      <c r="E7" s="19" t="str">
        <f aca="false">IF($B7="","",IFERROR(INDEX(Inventario!$B$12:$B$211,MATCH($B7,Inventario!$A$12:$A$211,0)),"⚠ código no existe"))</f>
        <v>Gaseosa 1.5 L</v>
      </c>
      <c r="F7" s="15" t="n">
        <f aca="false">IF(OR($B7="",$C7="",$D7=""),"",N($D7)*INDEX(Config!$B$7:$K$7,MATCH($C7,Config!$B$6:$K$6,0)))</f>
        <v>24</v>
      </c>
      <c r="G7" s="13"/>
    </row>
    <row r="8" customFormat="false" ht="15" hidden="false" customHeight="false" outlineLevel="0" collapsed="false">
      <c r="A8" s="13" t="s">
        <v>49</v>
      </c>
      <c r="B8" s="13" t="s">
        <v>34</v>
      </c>
      <c r="C8" s="13" t="s">
        <v>47</v>
      </c>
      <c r="D8" s="14" t="n">
        <v>12</v>
      </c>
      <c r="E8" s="19" t="str">
        <f aca="false">IF($B8="","",IFERROR(INDEX(Inventario!$B$12:$B$211,MATCH($B8,Inventario!$A$12:$A$211,0)),"⚠ código no existe"))</f>
        <v>Papel higiénico × 4</v>
      </c>
      <c r="F8" s="15" t="n">
        <f aca="false">IF(OR($B8="",$C8="",$D8=""),"",N($D8)*INDEX(Config!$B$7:$K$7,MATCH($C8,Config!$B$6:$K$6,0)))</f>
        <v>12</v>
      </c>
      <c r="G8" s="13"/>
    </row>
    <row r="9" customFormat="false" ht="15" hidden="false" customHeight="false" outlineLevel="0" collapsed="false">
      <c r="A9" s="13" t="s">
        <v>49</v>
      </c>
      <c r="B9" s="13" t="s">
        <v>36</v>
      </c>
      <c r="C9" s="13" t="s">
        <v>47</v>
      </c>
      <c r="D9" s="14" t="n">
        <v>10</v>
      </c>
      <c r="E9" s="19" t="str">
        <f aca="false">IF($B9="","",IFERROR(INDEX(Inventario!$B$12:$B$211,MATCH($B9,Inventario!$A$12:$A$211,0)),"⚠ código no existe"))</f>
        <v>Café molido 250 g</v>
      </c>
      <c r="F9" s="15" t="n">
        <f aca="false">IF(OR($B9="",$C9="",$D9=""),"",N($D9)*INDEX(Config!$B$7:$K$7,MATCH($C9,Config!$B$6:$K$6,0)))</f>
        <v>10</v>
      </c>
      <c r="G9" s="13"/>
    </row>
    <row r="10" customFormat="false" ht="15" hidden="false" customHeight="false" outlineLevel="0" collapsed="false">
      <c r="A10" s="13" t="s">
        <v>50</v>
      </c>
      <c r="B10" s="13" t="s">
        <v>18</v>
      </c>
      <c r="C10" s="13" t="s">
        <v>51</v>
      </c>
      <c r="D10" s="14" t="n">
        <v>35</v>
      </c>
      <c r="E10" s="19" t="str">
        <f aca="false">IF($B10="","",IFERROR(INDEX(Inventario!$B$12:$B$211,MATCH($B10,Inventario!$A$12:$A$211,0)),"⚠ código no existe"))</f>
        <v>Arroz × 500 g</v>
      </c>
      <c r="F10" s="15" t="n">
        <f aca="false">IF(OR($B10="",$C10="",$D10=""),"",N($D10)*INDEX(Config!$B$7:$K$7,MATCH($C10,Config!$B$6:$K$6,0)))</f>
        <v>-35</v>
      </c>
      <c r="G10" s="13"/>
    </row>
    <row r="11" customFormat="false" ht="15" hidden="false" customHeight="false" outlineLevel="0" collapsed="false">
      <c r="A11" s="13" t="s">
        <v>50</v>
      </c>
      <c r="B11" s="13" t="s">
        <v>21</v>
      </c>
      <c r="C11" s="13" t="s">
        <v>51</v>
      </c>
      <c r="D11" s="14" t="n">
        <v>18</v>
      </c>
      <c r="E11" s="19" t="str">
        <f aca="false">IF($B11="","",IFERROR(INDEX(Inventario!$B$12:$B$211,MATCH($B11,Inventario!$A$12:$A$211,0)),"⚠ código no existe"))</f>
        <v>Aceite vegetal 1 L</v>
      </c>
      <c r="F11" s="15" t="n">
        <f aca="false">IF(OR($B11="",$C11="",$D11=""),"",N($D11)*INDEX(Config!$B$7:$K$7,MATCH($C11,Config!$B$6:$K$6,0)))</f>
        <v>-18</v>
      </c>
      <c r="G11" s="13"/>
    </row>
    <row r="12" customFormat="false" ht="15" hidden="false" customHeight="false" outlineLevel="0" collapsed="false">
      <c r="A12" s="13" t="s">
        <v>52</v>
      </c>
      <c r="B12" s="13" t="s">
        <v>23</v>
      </c>
      <c r="C12" s="13" t="s">
        <v>51</v>
      </c>
      <c r="D12" s="14" t="n">
        <v>15</v>
      </c>
      <c r="E12" s="19" t="str">
        <f aca="false">IF($B12="","",IFERROR(INDEX(Inventario!$B$12:$B$211,MATCH($B12,Inventario!$A$12:$A$211,0)),"⚠ código no existe"))</f>
        <v>Azúcar × 1 kg</v>
      </c>
      <c r="F12" s="15" t="n">
        <f aca="false">IF(OR($B12="",$C12="",$D12=""),"",N($D12)*INDEX(Config!$B$7:$K$7,MATCH($C12,Config!$B$6:$K$6,0)))</f>
        <v>-15</v>
      </c>
      <c r="G12" s="13"/>
    </row>
    <row r="13" customFormat="false" ht="15" hidden="false" customHeight="false" outlineLevel="0" collapsed="false">
      <c r="A13" s="13" t="s">
        <v>52</v>
      </c>
      <c r="B13" s="13" t="s">
        <v>25</v>
      </c>
      <c r="C13" s="13" t="s">
        <v>51</v>
      </c>
      <c r="D13" s="14" t="n">
        <v>60</v>
      </c>
      <c r="E13" s="19" t="str">
        <f aca="false">IF($B13="","",IFERROR(INDEX(Inventario!$B$12:$B$211,MATCH($B13,Inventario!$A$12:$A$211,0)),"⚠ código no existe"))</f>
        <v>Leche entera 1 L</v>
      </c>
      <c r="F13" s="15" t="n">
        <f aca="false">IF(OR($B13="",$C13="",$D13=""),"",N($D13)*INDEX(Config!$B$7:$K$7,MATCH($C13,Config!$B$6:$K$6,0)))</f>
        <v>-60</v>
      </c>
      <c r="G13" s="13"/>
    </row>
    <row r="14" customFormat="false" ht="15" hidden="false" customHeight="false" outlineLevel="0" collapsed="false">
      <c r="A14" s="13" t="s">
        <v>52</v>
      </c>
      <c r="B14" s="13" t="s">
        <v>25</v>
      </c>
      <c r="C14" s="13" t="s">
        <v>53</v>
      </c>
      <c r="D14" s="14" t="n">
        <v>2</v>
      </c>
      <c r="E14" s="19" t="str">
        <f aca="false">IF($B14="","",IFERROR(INDEX(Inventario!$B$12:$B$211,MATCH($B14,Inventario!$A$12:$A$211,0)),"⚠ código no existe"))</f>
        <v>Leche entera 1 L</v>
      </c>
      <c r="F14" s="15" t="n">
        <f aca="false">IF(OR($B14="",$C14="",$D14=""),"",N($D14)*INDEX(Config!$B$7:$K$7,MATCH($C14,Config!$B$6:$K$6,0)))</f>
        <v>-2</v>
      </c>
      <c r="G14" s="13"/>
    </row>
    <row r="15" customFormat="false" ht="15" hidden="false" customHeight="false" outlineLevel="0" collapsed="false">
      <c r="A15" s="13" t="s">
        <v>54</v>
      </c>
      <c r="B15" s="13" t="s">
        <v>28</v>
      </c>
      <c r="C15" s="13" t="s">
        <v>51</v>
      </c>
      <c r="D15" s="14" t="n">
        <v>30</v>
      </c>
      <c r="E15" s="19" t="str">
        <f aca="false">IF($B15="","",IFERROR(INDEX(Inventario!$B$12:$B$211,MATCH($B15,Inventario!$A$12:$A$211,0)),"⚠ código no existe"))</f>
        <v>Gaseosa 1.5 L</v>
      </c>
      <c r="F15" s="15" t="n">
        <f aca="false">IF(OR($B15="",$C15="",$D15=""),"",N($D15)*INDEX(Config!$B$7:$K$7,MATCH($C15,Config!$B$6:$K$6,0)))</f>
        <v>-30</v>
      </c>
      <c r="G15" s="13"/>
    </row>
    <row r="16" customFormat="false" ht="15" hidden="false" customHeight="false" outlineLevel="0" collapsed="false">
      <c r="A16" s="13" t="s">
        <v>54</v>
      </c>
      <c r="B16" s="13" t="s">
        <v>31</v>
      </c>
      <c r="C16" s="13" t="s">
        <v>51</v>
      </c>
      <c r="D16" s="14" t="n">
        <v>10</v>
      </c>
      <c r="E16" s="19" t="str">
        <f aca="false">IF($B16="","",IFERROR(INDEX(Inventario!$B$12:$B$211,MATCH($B16,Inventario!$A$12:$A$211,0)),"⚠ código no existe"))</f>
        <v>Jabón de baño</v>
      </c>
      <c r="F16" s="15" t="n">
        <f aca="false">IF(OR($B16="",$C16="",$D16=""),"",N($D16)*INDEX(Config!$B$7:$K$7,MATCH($C16,Config!$B$6:$K$6,0)))</f>
        <v>-10</v>
      </c>
      <c r="G16" s="13"/>
    </row>
    <row r="17" customFormat="false" ht="15" hidden="false" customHeight="false" outlineLevel="0" collapsed="false">
      <c r="A17" s="13" t="s">
        <v>54</v>
      </c>
      <c r="B17" s="13" t="s">
        <v>31</v>
      </c>
      <c r="C17" s="13" t="s">
        <v>55</v>
      </c>
      <c r="D17" s="14" t="n">
        <v>2</v>
      </c>
      <c r="E17" s="19" t="str">
        <f aca="false">IF($B17="","",IFERROR(INDEX(Inventario!$B$12:$B$211,MATCH($B17,Inventario!$A$12:$A$211,0)),"⚠ código no existe"))</f>
        <v>Jabón de baño</v>
      </c>
      <c r="F17" s="15" t="n">
        <f aca="false">IF(OR($B17="",$C17="",$D17=""),"",N($D17)*INDEX(Config!$B$7:$K$7,MATCH($C17,Config!$B$6:$K$6,0)))</f>
        <v>-2</v>
      </c>
      <c r="G17" s="13"/>
    </row>
    <row r="18" customFormat="false" ht="15" hidden="false" customHeight="false" outlineLevel="0" collapsed="false">
      <c r="A18" s="13" t="s">
        <v>56</v>
      </c>
      <c r="B18" s="13" t="s">
        <v>34</v>
      </c>
      <c r="C18" s="13" t="s">
        <v>51</v>
      </c>
      <c r="D18" s="14" t="n">
        <v>26</v>
      </c>
      <c r="E18" s="19" t="str">
        <f aca="false">IF($B18="","",IFERROR(INDEX(Inventario!$B$12:$B$211,MATCH($B18,Inventario!$A$12:$A$211,0)),"⚠ código no existe"))</f>
        <v>Papel higiénico × 4</v>
      </c>
      <c r="F18" s="15" t="n">
        <f aca="false">IF(OR($B18="",$C18="",$D18=""),"",N($D18)*INDEX(Config!$B$7:$K$7,MATCH($C18,Config!$B$6:$K$6,0)))</f>
        <v>-26</v>
      </c>
      <c r="G18" s="13"/>
    </row>
    <row r="19" customFormat="false" ht="15" hidden="false" customHeight="false" outlineLevel="0" collapsed="false">
      <c r="A19" s="13" t="s">
        <v>56</v>
      </c>
      <c r="B19" s="13" t="s">
        <v>36</v>
      </c>
      <c r="C19" s="13" t="s">
        <v>51</v>
      </c>
      <c r="D19" s="14" t="n">
        <v>5</v>
      </c>
      <c r="E19" s="19" t="str">
        <f aca="false">IF($B19="","",IFERROR(INDEX(Inventario!$B$12:$B$211,MATCH($B19,Inventario!$A$12:$A$211,0)),"⚠ código no existe"))</f>
        <v>Café molido 250 g</v>
      </c>
      <c r="F19" s="15" t="n">
        <f aca="false">IF(OR($B19="",$C19="",$D19=""),"",N($D19)*INDEX(Config!$B$7:$K$7,MATCH($C19,Config!$B$6:$K$6,0)))</f>
        <v>-5</v>
      </c>
      <c r="G19" s="13"/>
    </row>
    <row r="20" customFormat="false" ht="15" hidden="false" customHeight="false" outlineLevel="0" collapsed="false">
      <c r="A20" s="13" t="s">
        <v>56</v>
      </c>
      <c r="B20" s="13" t="s">
        <v>36</v>
      </c>
      <c r="C20" s="13" t="s">
        <v>57</v>
      </c>
      <c r="D20" s="14" t="n">
        <v>2</v>
      </c>
      <c r="E20" s="19" t="str">
        <f aca="false">IF($B20="","",IFERROR(INDEX(Inventario!$B$12:$B$211,MATCH($B20,Inventario!$A$12:$A$211,0)),"⚠ código no existe"))</f>
        <v>Café molido 250 g</v>
      </c>
      <c r="F20" s="15" t="n">
        <f aca="false">IF(OR($B20="",$C20="",$D20=""),"",N($D20)*INDEX(Config!$B$7:$K$7,MATCH($C20,Config!$B$6:$K$6,0)))</f>
        <v>-2</v>
      </c>
      <c r="G20" s="13"/>
    </row>
    <row r="21" customFormat="false" ht="15" hidden="false" customHeight="false" outlineLevel="0" collapsed="false">
      <c r="A21" s="13"/>
      <c r="B21" s="13"/>
      <c r="C21" s="13"/>
      <c r="D21" s="14"/>
      <c r="E21" s="19" t="str">
        <f aca="false">IF($B21="","",IFERROR(INDEX(Inventario!$B$12:$B$211,MATCH($B21,Inventario!$A$12:$A$211,0)),"⚠ código no existe"))</f>
        <v/>
      </c>
      <c r="F21" s="15" t="str">
        <f aca="false">IF(OR($B21="",$C21="",$D21=""),"",N($D21)*INDEX(Config!$B$7:$K$7,MATCH($C21,Config!$B$6:$K$6,0)))</f>
        <v/>
      </c>
      <c r="G21" s="13"/>
    </row>
    <row r="22" customFormat="false" ht="15" hidden="false" customHeight="false" outlineLevel="0" collapsed="false">
      <c r="A22" s="13"/>
      <c r="B22" s="13"/>
      <c r="C22" s="13"/>
      <c r="D22" s="14"/>
      <c r="E22" s="19" t="str">
        <f aca="false">IF($B22="","",IFERROR(INDEX(Inventario!$B$12:$B$211,MATCH($B22,Inventario!$A$12:$A$211,0)),"⚠ código no existe"))</f>
        <v/>
      </c>
      <c r="F22" s="15" t="str">
        <f aca="false">IF(OR($B22="",$C22="",$D22=""),"",N($D22)*INDEX(Config!$B$7:$K$7,MATCH($C22,Config!$B$6:$K$6,0)))</f>
        <v/>
      </c>
      <c r="G22" s="13"/>
    </row>
    <row r="23" customFormat="false" ht="15" hidden="false" customHeight="false" outlineLevel="0" collapsed="false">
      <c r="A23" s="13"/>
      <c r="B23" s="13"/>
      <c r="C23" s="13"/>
      <c r="D23" s="14"/>
      <c r="E23" s="19" t="str">
        <f aca="false">IF($B23="","",IFERROR(INDEX(Inventario!$B$12:$B$211,MATCH($B23,Inventario!$A$12:$A$211,0)),"⚠ código no existe"))</f>
        <v/>
      </c>
      <c r="F23" s="15" t="str">
        <f aca="false">IF(OR($B23="",$C23="",$D23=""),"",N($D23)*INDEX(Config!$B$7:$K$7,MATCH($C23,Config!$B$6:$K$6,0)))</f>
        <v/>
      </c>
      <c r="G23" s="13"/>
    </row>
    <row r="24" customFormat="false" ht="15" hidden="false" customHeight="false" outlineLevel="0" collapsed="false">
      <c r="A24" s="13"/>
      <c r="B24" s="13"/>
      <c r="C24" s="13"/>
      <c r="D24" s="14"/>
      <c r="E24" s="19" t="str">
        <f aca="false">IF($B24="","",IFERROR(INDEX(Inventario!$B$12:$B$211,MATCH($B24,Inventario!$A$12:$A$211,0)),"⚠ código no existe"))</f>
        <v/>
      </c>
      <c r="F24" s="15" t="str">
        <f aca="false">IF(OR($B24="",$C24="",$D24=""),"",N($D24)*INDEX(Config!$B$7:$K$7,MATCH($C24,Config!$B$6:$K$6,0)))</f>
        <v/>
      </c>
      <c r="G24" s="13"/>
    </row>
    <row r="25" customFormat="false" ht="15" hidden="false" customHeight="false" outlineLevel="0" collapsed="false">
      <c r="A25" s="13"/>
      <c r="B25" s="13"/>
      <c r="C25" s="13"/>
      <c r="D25" s="14"/>
      <c r="E25" s="19" t="str">
        <f aca="false">IF($B25="","",IFERROR(INDEX(Inventario!$B$12:$B$211,MATCH($B25,Inventario!$A$12:$A$211,0)),"⚠ código no existe"))</f>
        <v/>
      </c>
      <c r="F25" s="15" t="str">
        <f aca="false">IF(OR($B25="",$C25="",$D25=""),"",N($D25)*INDEX(Config!$B$7:$K$7,MATCH($C25,Config!$B$6:$K$6,0)))</f>
        <v/>
      </c>
      <c r="G25" s="13"/>
    </row>
    <row r="26" customFormat="false" ht="15" hidden="false" customHeight="false" outlineLevel="0" collapsed="false">
      <c r="A26" s="13"/>
      <c r="B26" s="13"/>
      <c r="C26" s="13"/>
      <c r="D26" s="14"/>
      <c r="E26" s="19" t="str">
        <f aca="false">IF($B26="","",IFERROR(INDEX(Inventario!$B$12:$B$211,MATCH($B26,Inventario!$A$12:$A$211,0)),"⚠ código no existe"))</f>
        <v/>
      </c>
      <c r="F26" s="15" t="str">
        <f aca="false">IF(OR($B26="",$C26="",$D26=""),"",N($D26)*INDEX(Config!$B$7:$K$7,MATCH($C26,Config!$B$6:$K$6,0)))</f>
        <v/>
      </c>
      <c r="G26" s="13"/>
    </row>
    <row r="27" customFormat="false" ht="15" hidden="false" customHeight="false" outlineLevel="0" collapsed="false">
      <c r="A27" s="13"/>
      <c r="B27" s="13"/>
      <c r="C27" s="13"/>
      <c r="D27" s="14"/>
      <c r="E27" s="19" t="str">
        <f aca="false">IF($B27="","",IFERROR(INDEX(Inventario!$B$12:$B$211,MATCH($B27,Inventario!$A$12:$A$211,0)),"⚠ código no existe"))</f>
        <v/>
      </c>
      <c r="F27" s="15" t="str">
        <f aca="false">IF(OR($B27="",$C27="",$D27=""),"",N($D27)*INDEX(Config!$B$7:$K$7,MATCH($C27,Config!$B$6:$K$6,0)))</f>
        <v/>
      </c>
      <c r="G27" s="13"/>
    </row>
    <row r="28" customFormat="false" ht="15" hidden="false" customHeight="false" outlineLevel="0" collapsed="false">
      <c r="A28" s="13"/>
      <c r="B28" s="13"/>
      <c r="C28" s="13"/>
      <c r="D28" s="14"/>
      <c r="E28" s="19" t="str">
        <f aca="false">IF($B28="","",IFERROR(INDEX(Inventario!$B$12:$B$211,MATCH($B28,Inventario!$A$12:$A$211,0)),"⚠ código no existe"))</f>
        <v/>
      </c>
      <c r="F28" s="15" t="str">
        <f aca="false">IF(OR($B28="",$C28="",$D28=""),"",N($D28)*INDEX(Config!$B$7:$K$7,MATCH($C28,Config!$B$6:$K$6,0)))</f>
        <v/>
      </c>
      <c r="G28" s="13"/>
    </row>
    <row r="29" customFormat="false" ht="15" hidden="false" customHeight="false" outlineLevel="0" collapsed="false">
      <c r="A29" s="13"/>
      <c r="B29" s="13"/>
      <c r="C29" s="13"/>
      <c r="D29" s="14"/>
      <c r="E29" s="19" t="str">
        <f aca="false">IF($B29="","",IFERROR(INDEX(Inventario!$B$12:$B$211,MATCH($B29,Inventario!$A$12:$A$211,0)),"⚠ código no existe"))</f>
        <v/>
      </c>
      <c r="F29" s="15" t="str">
        <f aca="false">IF(OR($B29="",$C29="",$D29=""),"",N($D29)*INDEX(Config!$B$7:$K$7,MATCH($C29,Config!$B$6:$K$6,0)))</f>
        <v/>
      </c>
      <c r="G29" s="13"/>
    </row>
    <row r="30" customFormat="false" ht="15" hidden="false" customHeight="false" outlineLevel="0" collapsed="false">
      <c r="A30" s="13"/>
      <c r="B30" s="13"/>
      <c r="C30" s="13"/>
      <c r="D30" s="14"/>
      <c r="E30" s="19" t="str">
        <f aca="false">IF($B30="","",IFERROR(INDEX(Inventario!$B$12:$B$211,MATCH($B30,Inventario!$A$12:$A$211,0)),"⚠ código no existe"))</f>
        <v/>
      </c>
      <c r="F30" s="15" t="str">
        <f aca="false">IF(OR($B30="",$C30="",$D30=""),"",N($D30)*INDEX(Config!$B$7:$K$7,MATCH($C30,Config!$B$6:$K$6,0)))</f>
        <v/>
      </c>
      <c r="G30" s="13"/>
    </row>
    <row r="31" customFormat="false" ht="15" hidden="false" customHeight="false" outlineLevel="0" collapsed="false">
      <c r="A31" s="13"/>
      <c r="B31" s="13"/>
      <c r="C31" s="13"/>
      <c r="D31" s="14"/>
      <c r="E31" s="19" t="str">
        <f aca="false">IF($B31="","",IFERROR(INDEX(Inventario!$B$12:$B$211,MATCH($B31,Inventario!$A$12:$A$211,0)),"⚠ código no existe"))</f>
        <v/>
      </c>
      <c r="F31" s="15" t="str">
        <f aca="false">IF(OR($B31="",$C31="",$D31=""),"",N($D31)*INDEX(Config!$B$7:$K$7,MATCH($C31,Config!$B$6:$K$6,0)))</f>
        <v/>
      </c>
      <c r="G31" s="13"/>
    </row>
    <row r="32" customFormat="false" ht="15" hidden="false" customHeight="false" outlineLevel="0" collapsed="false">
      <c r="A32" s="13"/>
      <c r="B32" s="13"/>
      <c r="C32" s="13"/>
      <c r="D32" s="14"/>
      <c r="E32" s="19" t="str">
        <f aca="false">IF($B32="","",IFERROR(INDEX(Inventario!$B$12:$B$211,MATCH($B32,Inventario!$A$12:$A$211,0)),"⚠ código no existe"))</f>
        <v/>
      </c>
      <c r="F32" s="15" t="str">
        <f aca="false">IF(OR($B32="",$C32="",$D32=""),"",N($D32)*INDEX(Config!$B$7:$K$7,MATCH($C32,Config!$B$6:$K$6,0)))</f>
        <v/>
      </c>
      <c r="G32" s="13"/>
    </row>
    <row r="33" customFormat="false" ht="15" hidden="false" customHeight="false" outlineLevel="0" collapsed="false">
      <c r="A33" s="13"/>
      <c r="B33" s="13"/>
      <c r="C33" s="13"/>
      <c r="D33" s="14"/>
      <c r="E33" s="19" t="str">
        <f aca="false">IF($B33="","",IFERROR(INDEX(Inventario!$B$12:$B$211,MATCH($B33,Inventario!$A$12:$A$211,0)),"⚠ código no existe"))</f>
        <v/>
      </c>
      <c r="F33" s="15" t="str">
        <f aca="false">IF(OR($B33="",$C33="",$D33=""),"",N($D33)*INDEX(Config!$B$7:$K$7,MATCH($C33,Config!$B$6:$K$6,0)))</f>
        <v/>
      </c>
      <c r="G33" s="13"/>
    </row>
    <row r="34" customFormat="false" ht="15" hidden="false" customHeight="false" outlineLevel="0" collapsed="false">
      <c r="A34" s="13"/>
      <c r="B34" s="13"/>
      <c r="C34" s="13"/>
      <c r="D34" s="14"/>
      <c r="E34" s="19" t="str">
        <f aca="false">IF($B34="","",IFERROR(INDEX(Inventario!$B$12:$B$211,MATCH($B34,Inventario!$A$12:$A$211,0)),"⚠ código no existe"))</f>
        <v/>
      </c>
      <c r="F34" s="15" t="str">
        <f aca="false">IF(OR($B34="",$C34="",$D34=""),"",N($D34)*INDEX(Config!$B$7:$K$7,MATCH($C34,Config!$B$6:$K$6,0)))</f>
        <v/>
      </c>
      <c r="G34" s="13"/>
    </row>
    <row r="35" customFormat="false" ht="15" hidden="false" customHeight="false" outlineLevel="0" collapsed="false">
      <c r="A35" s="13"/>
      <c r="B35" s="13"/>
      <c r="C35" s="13"/>
      <c r="D35" s="14"/>
      <c r="E35" s="19" t="str">
        <f aca="false">IF($B35="","",IFERROR(INDEX(Inventario!$B$12:$B$211,MATCH($B35,Inventario!$A$12:$A$211,0)),"⚠ código no existe"))</f>
        <v/>
      </c>
      <c r="F35" s="15" t="str">
        <f aca="false">IF(OR($B35="",$C35="",$D35=""),"",N($D35)*INDEX(Config!$B$7:$K$7,MATCH($C35,Config!$B$6:$K$6,0)))</f>
        <v/>
      </c>
      <c r="G35" s="13"/>
    </row>
    <row r="36" customFormat="false" ht="15" hidden="false" customHeight="false" outlineLevel="0" collapsed="false">
      <c r="A36" s="13"/>
      <c r="B36" s="13"/>
      <c r="C36" s="13"/>
      <c r="D36" s="14"/>
      <c r="E36" s="19" t="str">
        <f aca="false">IF($B36="","",IFERROR(INDEX(Inventario!$B$12:$B$211,MATCH($B36,Inventario!$A$12:$A$211,0)),"⚠ código no existe"))</f>
        <v/>
      </c>
      <c r="F36" s="15" t="str">
        <f aca="false">IF(OR($B36="",$C36="",$D36=""),"",N($D36)*INDEX(Config!$B$7:$K$7,MATCH($C36,Config!$B$6:$K$6,0)))</f>
        <v/>
      </c>
      <c r="G36" s="13"/>
    </row>
    <row r="37" customFormat="false" ht="15" hidden="false" customHeight="false" outlineLevel="0" collapsed="false">
      <c r="A37" s="13"/>
      <c r="B37" s="13"/>
      <c r="C37" s="13"/>
      <c r="D37" s="14"/>
      <c r="E37" s="19" t="str">
        <f aca="false">IF($B37="","",IFERROR(INDEX(Inventario!$B$12:$B$211,MATCH($B37,Inventario!$A$12:$A$211,0)),"⚠ código no existe"))</f>
        <v/>
      </c>
      <c r="F37" s="15" t="str">
        <f aca="false">IF(OR($B37="",$C37="",$D37=""),"",N($D37)*INDEX(Config!$B$7:$K$7,MATCH($C37,Config!$B$6:$K$6,0)))</f>
        <v/>
      </c>
      <c r="G37" s="13"/>
    </row>
    <row r="38" customFormat="false" ht="15" hidden="false" customHeight="false" outlineLevel="0" collapsed="false">
      <c r="A38" s="13"/>
      <c r="B38" s="13"/>
      <c r="C38" s="13"/>
      <c r="D38" s="14"/>
      <c r="E38" s="19" t="str">
        <f aca="false">IF($B38="","",IFERROR(INDEX(Inventario!$B$12:$B$211,MATCH($B38,Inventario!$A$12:$A$211,0)),"⚠ código no existe"))</f>
        <v/>
      </c>
      <c r="F38" s="15" t="str">
        <f aca="false">IF(OR($B38="",$C38="",$D38=""),"",N($D38)*INDEX(Config!$B$7:$K$7,MATCH($C38,Config!$B$6:$K$6,0)))</f>
        <v/>
      </c>
      <c r="G38" s="13"/>
    </row>
    <row r="39" customFormat="false" ht="15" hidden="false" customHeight="false" outlineLevel="0" collapsed="false">
      <c r="A39" s="13"/>
      <c r="B39" s="13"/>
      <c r="C39" s="13"/>
      <c r="D39" s="14"/>
      <c r="E39" s="19" t="str">
        <f aca="false">IF($B39="","",IFERROR(INDEX(Inventario!$B$12:$B$211,MATCH($B39,Inventario!$A$12:$A$211,0)),"⚠ código no existe"))</f>
        <v/>
      </c>
      <c r="F39" s="15" t="str">
        <f aca="false">IF(OR($B39="",$C39="",$D39=""),"",N($D39)*INDEX(Config!$B$7:$K$7,MATCH($C39,Config!$B$6:$K$6,0)))</f>
        <v/>
      </c>
      <c r="G39" s="13"/>
    </row>
    <row r="40" customFormat="false" ht="15" hidden="false" customHeight="false" outlineLevel="0" collapsed="false">
      <c r="A40" s="13"/>
      <c r="B40" s="13"/>
      <c r="C40" s="13"/>
      <c r="D40" s="14"/>
      <c r="E40" s="19" t="str">
        <f aca="false">IF($B40="","",IFERROR(INDEX(Inventario!$B$12:$B$211,MATCH($B40,Inventario!$A$12:$A$211,0)),"⚠ código no existe"))</f>
        <v/>
      </c>
      <c r="F40" s="15" t="str">
        <f aca="false">IF(OR($B40="",$C40="",$D40=""),"",N($D40)*INDEX(Config!$B$7:$K$7,MATCH($C40,Config!$B$6:$K$6,0)))</f>
        <v/>
      </c>
      <c r="G40" s="13"/>
    </row>
    <row r="41" customFormat="false" ht="15" hidden="false" customHeight="false" outlineLevel="0" collapsed="false">
      <c r="A41" s="13"/>
      <c r="B41" s="13"/>
      <c r="C41" s="13"/>
      <c r="D41" s="14"/>
      <c r="E41" s="19" t="str">
        <f aca="false">IF($B41="","",IFERROR(INDEX(Inventario!$B$12:$B$211,MATCH($B41,Inventario!$A$12:$A$211,0)),"⚠ código no existe"))</f>
        <v/>
      </c>
      <c r="F41" s="15" t="str">
        <f aca="false">IF(OR($B41="",$C41="",$D41=""),"",N($D41)*INDEX(Config!$B$7:$K$7,MATCH($C41,Config!$B$6:$K$6,0)))</f>
        <v/>
      </c>
      <c r="G41" s="13"/>
    </row>
    <row r="42" customFormat="false" ht="15" hidden="false" customHeight="false" outlineLevel="0" collapsed="false">
      <c r="A42" s="13"/>
      <c r="B42" s="13"/>
      <c r="C42" s="13"/>
      <c r="D42" s="14"/>
      <c r="E42" s="19" t="str">
        <f aca="false">IF($B42="","",IFERROR(INDEX(Inventario!$B$12:$B$211,MATCH($B42,Inventario!$A$12:$A$211,0)),"⚠ código no existe"))</f>
        <v/>
      </c>
      <c r="F42" s="15" t="str">
        <f aca="false">IF(OR($B42="",$C42="",$D42=""),"",N($D42)*INDEX(Config!$B$7:$K$7,MATCH($C42,Config!$B$6:$K$6,0)))</f>
        <v/>
      </c>
      <c r="G42" s="13"/>
    </row>
    <row r="43" customFormat="false" ht="15" hidden="false" customHeight="false" outlineLevel="0" collapsed="false">
      <c r="A43" s="13"/>
      <c r="B43" s="13"/>
      <c r="C43" s="13"/>
      <c r="D43" s="14"/>
      <c r="E43" s="19" t="str">
        <f aca="false">IF($B43="","",IFERROR(INDEX(Inventario!$B$12:$B$211,MATCH($B43,Inventario!$A$12:$A$211,0)),"⚠ código no existe"))</f>
        <v/>
      </c>
      <c r="F43" s="15" t="str">
        <f aca="false">IF(OR($B43="",$C43="",$D43=""),"",N($D43)*INDEX(Config!$B$7:$K$7,MATCH($C43,Config!$B$6:$K$6,0)))</f>
        <v/>
      </c>
      <c r="G43" s="13"/>
    </row>
    <row r="44" customFormat="false" ht="15" hidden="false" customHeight="false" outlineLevel="0" collapsed="false">
      <c r="A44" s="13"/>
      <c r="B44" s="13"/>
      <c r="C44" s="13"/>
      <c r="D44" s="14"/>
      <c r="E44" s="19" t="str">
        <f aca="false">IF($B44="","",IFERROR(INDEX(Inventario!$B$12:$B$211,MATCH($B44,Inventario!$A$12:$A$211,0)),"⚠ código no existe"))</f>
        <v/>
      </c>
      <c r="F44" s="15" t="str">
        <f aca="false">IF(OR($B44="",$C44="",$D44=""),"",N($D44)*INDEX(Config!$B$7:$K$7,MATCH($C44,Config!$B$6:$K$6,0)))</f>
        <v/>
      </c>
      <c r="G44" s="13"/>
    </row>
    <row r="45" customFormat="false" ht="15" hidden="false" customHeight="false" outlineLevel="0" collapsed="false">
      <c r="A45" s="13"/>
      <c r="B45" s="13"/>
      <c r="C45" s="13"/>
      <c r="D45" s="14"/>
      <c r="E45" s="19" t="str">
        <f aca="false">IF($B45="","",IFERROR(INDEX(Inventario!$B$12:$B$211,MATCH($B45,Inventario!$A$12:$A$211,0)),"⚠ código no existe"))</f>
        <v/>
      </c>
      <c r="F45" s="15" t="str">
        <f aca="false">IF(OR($B45="",$C45="",$D45=""),"",N($D45)*INDEX(Config!$B$7:$K$7,MATCH($C45,Config!$B$6:$K$6,0)))</f>
        <v/>
      </c>
      <c r="G45" s="13"/>
    </row>
    <row r="46" customFormat="false" ht="15" hidden="false" customHeight="false" outlineLevel="0" collapsed="false">
      <c r="A46" s="13"/>
      <c r="B46" s="13"/>
      <c r="C46" s="13"/>
      <c r="D46" s="14"/>
      <c r="E46" s="19" t="str">
        <f aca="false">IF($B46="","",IFERROR(INDEX(Inventario!$B$12:$B$211,MATCH($B46,Inventario!$A$12:$A$211,0)),"⚠ código no existe"))</f>
        <v/>
      </c>
      <c r="F46" s="15" t="str">
        <f aca="false">IF(OR($B46="",$C46="",$D46=""),"",N($D46)*INDEX(Config!$B$7:$K$7,MATCH($C46,Config!$B$6:$K$6,0)))</f>
        <v/>
      </c>
      <c r="G46" s="13"/>
    </row>
    <row r="47" customFormat="false" ht="15" hidden="false" customHeight="false" outlineLevel="0" collapsed="false">
      <c r="A47" s="13"/>
      <c r="B47" s="13"/>
      <c r="C47" s="13"/>
      <c r="D47" s="14"/>
      <c r="E47" s="19" t="str">
        <f aca="false">IF($B47="","",IFERROR(INDEX(Inventario!$B$12:$B$211,MATCH($B47,Inventario!$A$12:$A$211,0)),"⚠ código no existe"))</f>
        <v/>
      </c>
      <c r="F47" s="15" t="str">
        <f aca="false">IF(OR($B47="",$C47="",$D47=""),"",N($D47)*INDEX(Config!$B$7:$K$7,MATCH($C47,Config!$B$6:$K$6,0)))</f>
        <v/>
      </c>
      <c r="G47" s="13"/>
    </row>
    <row r="48" customFormat="false" ht="15" hidden="false" customHeight="false" outlineLevel="0" collapsed="false">
      <c r="A48" s="13"/>
      <c r="B48" s="13"/>
      <c r="C48" s="13"/>
      <c r="D48" s="14"/>
      <c r="E48" s="19" t="str">
        <f aca="false">IF($B48="","",IFERROR(INDEX(Inventario!$B$12:$B$211,MATCH($B48,Inventario!$A$12:$A$211,0)),"⚠ código no existe"))</f>
        <v/>
      </c>
      <c r="F48" s="15" t="str">
        <f aca="false">IF(OR($B48="",$C48="",$D48=""),"",N($D48)*INDEX(Config!$B$7:$K$7,MATCH($C48,Config!$B$6:$K$6,0)))</f>
        <v/>
      </c>
      <c r="G48" s="13"/>
    </row>
    <row r="49" customFormat="false" ht="15" hidden="false" customHeight="false" outlineLevel="0" collapsed="false">
      <c r="A49" s="13"/>
      <c r="B49" s="13"/>
      <c r="C49" s="13"/>
      <c r="D49" s="14"/>
      <c r="E49" s="19" t="str">
        <f aca="false">IF($B49="","",IFERROR(INDEX(Inventario!$B$12:$B$211,MATCH($B49,Inventario!$A$12:$A$211,0)),"⚠ código no existe"))</f>
        <v/>
      </c>
      <c r="F49" s="15" t="str">
        <f aca="false">IF(OR($B49="",$C49="",$D49=""),"",N($D49)*INDEX(Config!$B$7:$K$7,MATCH($C49,Config!$B$6:$K$6,0)))</f>
        <v/>
      </c>
      <c r="G49" s="13"/>
    </row>
    <row r="50" customFormat="false" ht="15" hidden="false" customHeight="false" outlineLevel="0" collapsed="false">
      <c r="A50" s="13"/>
      <c r="B50" s="13"/>
      <c r="C50" s="13"/>
      <c r="D50" s="14"/>
      <c r="E50" s="19" t="str">
        <f aca="false">IF($B50="","",IFERROR(INDEX(Inventario!$B$12:$B$211,MATCH($B50,Inventario!$A$12:$A$211,0)),"⚠ código no existe"))</f>
        <v/>
      </c>
      <c r="F50" s="15" t="str">
        <f aca="false">IF(OR($B50="",$C50="",$D50=""),"",N($D50)*INDEX(Config!$B$7:$K$7,MATCH($C50,Config!$B$6:$K$6,0)))</f>
        <v/>
      </c>
      <c r="G50" s="13"/>
    </row>
    <row r="51" customFormat="false" ht="15" hidden="false" customHeight="false" outlineLevel="0" collapsed="false">
      <c r="A51" s="13"/>
      <c r="B51" s="13"/>
      <c r="C51" s="13"/>
      <c r="D51" s="14"/>
      <c r="E51" s="19" t="str">
        <f aca="false">IF($B51="","",IFERROR(INDEX(Inventario!$B$12:$B$211,MATCH($B51,Inventario!$A$12:$A$211,0)),"⚠ código no existe"))</f>
        <v/>
      </c>
      <c r="F51" s="15" t="str">
        <f aca="false">IF(OR($B51="",$C51="",$D51=""),"",N($D51)*INDEX(Config!$B$7:$K$7,MATCH($C51,Config!$B$6:$K$6,0)))</f>
        <v/>
      </c>
      <c r="G51" s="13"/>
    </row>
    <row r="52" customFormat="false" ht="15" hidden="false" customHeight="false" outlineLevel="0" collapsed="false">
      <c r="A52" s="13"/>
      <c r="B52" s="13"/>
      <c r="C52" s="13"/>
      <c r="D52" s="14"/>
      <c r="E52" s="19" t="str">
        <f aca="false">IF($B52="","",IFERROR(INDEX(Inventario!$B$12:$B$211,MATCH($B52,Inventario!$A$12:$A$211,0)),"⚠ código no existe"))</f>
        <v/>
      </c>
      <c r="F52" s="15" t="str">
        <f aca="false">IF(OR($B52="",$C52="",$D52=""),"",N($D52)*INDEX(Config!$B$7:$K$7,MATCH($C52,Config!$B$6:$K$6,0)))</f>
        <v/>
      </c>
      <c r="G52" s="13"/>
    </row>
    <row r="53" customFormat="false" ht="15" hidden="false" customHeight="false" outlineLevel="0" collapsed="false">
      <c r="A53" s="13"/>
      <c r="B53" s="13"/>
      <c r="C53" s="13"/>
      <c r="D53" s="14"/>
      <c r="E53" s="19" t="str">
        <f aca="false">IF($B53="","",IFERROR(INDEX(Inventario!$B$12:$B$211,MATCH($B53,Inventario!$A$12:$A$211,0)),"⚠ código no existe"))</f>
        <v/>
      </c>
      <c r="F53" s="15" t="str">
        <f aca="false">IF(OR($B53="",$C53="",$D53=""),"",N($D53)*INDEX(Config!$B$7:$K$7,MATCH($C53,Config!$B$6:$K$6,0)))</f>
        <v/>
      </c>
      <c r="G53" s="13"/>
    </row>
    <row r="54" customFormat="false" ht="15" hidden="false" customHeight="false" outlineLevel="0" collapsed="false">
      <c r="A54" s="13"/>
      <c r="B54" s="13"/>
      <c r="C54" s="13"/>
      <c r="D54" s="14"/>
      <c r="E54" s="19" t="str">
        <f aca="false">IF($B54="","",IFERROR(INDEX(Inventario!$B$12:$B$211,MATCH($B54,Inventario!$A$12:$A$211,0)),"⚠ código no existe"))</f>
        <v/>
      </c>
      <c r="F54" s="15" t="str">
        <f aca="false">IF(OR($B54="",$C54="",$D54=""),"",N($D54)*INDEX(Config!$B$7:$K$7,MATCH($C54,Config!$B$6:$K$6,0)))</f>
        <v/>
      </c>
      <c r="G54" s="13"/>
    </row>
    <row r="55" customFormat="false" ht="15" hidden="false" customHeight="false" outlineLevel="0" collapsed="false">
      <c r="A55" s="13"/>
      <c r="B55" s="13"/>
      <c r="C55" s="13"/>
      <c r="D55" s="14"/>
      <c r="E55" s="19" t="str">
        <f aca="false">IF($B55="","",IFERROR(INDEX(Inventario!$B$12:$B$211,MATCH($B55,Inventario!$A$12:$A$211,0)),"⚠ código no existe"))</f>
        <v/>
      </c>
      <c r="F55" s="15" t="str">
        <f aca="false">IF(OR($B55="",$C55="",$D55=""),"",N($D55)*INDEX(Config!$B$7:$K$7,MATCH($C55,Config!$B$6:$K$6,0)))</f>
        <v/>
      </c>
      <c r="G55" s="13"/>
    </row>
    <row r="56" customFormat="false" ht="15" hidden="false" customHeight="false" outlineLevel="0" collapsed="false">
      <c r="A56" s="13"/>
      <c r="B56" s="13"/>
      <c r="C56" s="13"/>
      <c r="D56" s="14"/>
      <c r="E56" s="19" t="str">
        <f aca="false">IF($B56="","",IFERROR(INDEX(Inventario!$B$12:$B$211,MATCH($B56,Inventario!$A$12:$A$211,0)),"⚠ código no existe"))</f>
        <v/>
      </c>
      <c r="F56" s="15" t="str">
        <f aca="false">IF(OR($B56="",$C56="",$D56=""),"",N($D56)*INDEX(Config!$B$7:$K$7,MATCH($C56,Config!$B$6:$K$6,0)))</f>
        <v/>
      </c>
      <c r="G56" s="13"/>
    </row>
    <row r="57" customFormat="false" ht="15" hidden="false" customHeight="false" outlineLevel="0" collapsed="false">
      <c r="A57" s="13"/>
      <c r="B57" s="13"/>
      <c r="C57" s="13"/>
      <c r="D57" s="14"/>
      <c r="E57" s="19" t="str">
        <f aca="false">IF($B57="","",IFERROR(INDEX(Inventario!$B$12:$B$211,MATCH($B57,Inventario!$A$12:$A$211,0)),"⚠ código no existe"))</f>
        <v/>
      </c>
      <c r="F57" s="15" t="str">
        <f aca="false">IF(OR($B57="",$C57="",$D57=""),"",N($D57)*INDEX(Config!$B$7:$K$7,MATCH($C57,Config!$B$6:$K$6,0)))</f>
        <v/>
      </c>
      <c r="G57" s="13"/>
    </row>
    <row r="58" customFormat="false" ht="15" hidden="false" customHeight="false" outlineLevel="0" collapsed="false">
      <c r="A58" s="13"/>
      <c r="B58" s="13"/>
      <c r="C58" s="13"/>
      <c r="D58" s="14"/>
      <c r="E58" s="19" t="str">
        <f aca="false">IF($B58="","",IFERROR(INDEX(Inventario!$B$12:$B$211,MATCH($B58,Inventario!$A$12:$A$211,0)),"⚠ código no existe"))</f>
        <v/>
      </c>
      <c r="F58" s="15" t="str">
        <f aca="false">IF(OR($B58="",$C58="",$D58=""),"",N($D58)*INDEX(Config!$B$7:$K$7,MATCH($C58,Config!$B$6:$K$6,0)))</f>
        <v/>
      </c>
      <c r="G58" s="13"/>
    </row>
    <row r="59" customFormat="false" ht="15" hidden="false" customHeight="false" outlineLevel="0" collapsed="false">
      <c r="A59" s="13"/>
      <c r="B59" s="13"/>
      <c r="C59" s="13"/>
      <c r="D59" s="14"/>
      <c r="E59" s="19" t="str">
        <f aca="false">IF($B59="","",IFERROR(INDEX(Inventario!$B$12:$B$211,MATCH($B59,Inventario!$A$12:$A$211,0)),"⚠ código no existe"))</f>
        <v/>
      </c>
      <c r="F59" s="15" t="str">
        <f aca="false">IF(OR($B59="",$C59="",$D59=""),"",N($D59)*INDEX(Config!$B$7:$K$7,MATCH($C59,Config!$B$6:$K$6,0)))</f>
        <v/>
      </c>
      <c r="G59" s="13"/>
    </row>
    <row r="60" customFormat="false" ht="15" hidden="false" customHeight="false" outlineLevel="0" collapsed="false">
      <c r="A60" s="13"/>
      <c r="B60" s="13"/>
      <c r="C60" s="13"/>
      <c r="D60" s="14"/>
      <c r="E60" s="19" t="str">
        <f aca="false">IF($B60="","",IFERROR(INDEX(Inventario!$B$12:$B$211,MATCH($B60,Inventario!$A$12:$A$211,0)),"⚠ código no existe"))</f>
        <v/>
      </c>
      <c r="F60" s="15" t="str">
        <f aca="false">IF(OR($B60="",$C60="",$D60=""),"",N($D60)*INDEX(Config!$B$7:$K$7,MATCH($C60,Config!$B$6:$K$6,0)))</f>
        <v/>
      </c>
      <c r="G60" s="13"/>
    </row>
    <row r="61" customFormat="false" ht="15" hidden="false" customHeight="false" outlineLevel="0" collapsed="false">
      <c r="A61" s="13"/>
      <c r="B61" s="13"/>
      <c r="C61" s="13"/>
      <c r="D61" s="14"/>
      <c r="E61" s="19" t="str">
        <f aca="false">IF($B61="","",IFERROR(INDEX(Inventario!$B$12:$B$211,MATCH($B61,Inventario!$A$12:$A$211,0)),"⚠ código no existe"))</f>
        <v/>
      </c>
      <c r="F61" s="15" t="str">
        <f aca="false">IF(OR($B61="",$C61="",$D61=""),"",N($D61)*INDEX(Config!$B$7:$K$7,MATCH($C61,Config!$B$6:$K$6,0)))</f>
        <v/>
      </c>
      <c r="G61" s="13"/>
    </row>
    <row r="62" customFormat="false" ht="15" hidden="false" customHeight="false" outlineLevel="0" collapsed="false">
      <c r="A62" s="13"/>
      <c r="B62" s="13"/>
      <c r="C62" s="13"/>
      <c r="D62" s="14"/>
      <c r="E62" s="19" t="str">
        <f aca="false">IF($B62="","",IFERROR(INDEX(Inventario!$B$12:$B$211,MATCH($B62,Inventario!$A$12:$A$211,0)),"⚠ código no existe"))</f>
        <v/>
      </c>
      <c r="F62" s="15" t="str">
        <f aca="false">IF(OR($B62="",$C62="",$D62=""),"",N($D62)*INDEX(Config!$B$7:$K$7,MATCH($C62,Config!$B$6:$K$6,0)))</f>
        <v/>
      </c>
      <c r="G62" s="13"/>
    </row>
    <row r="63" customFormat="false" ht="15" hidden="false" customHeight="false" outlineLevel="0" collapsed="false">
      <c r="A63" s="13"/>
      <c r="B63" s="13"/>
      <c r="C63" s="13"/>
      <c r="D63" s="14"/>
      <c r="E63" s="19" t="str">
        <f aca="false">IF($B63="","",IFERROR(INDEX(Inventario!$B$12:$B$211,MATCH($B63,Inventario!$A$12:$A$211,0)),"⚠ código no existe"))</f>
        <v/>
      </c>
      <c r="F63" s="15" t="str">
        <f aca="false">IF(OR($B63="",$C63="",$D63=""),"",N($D63)*INDEX(Config!$B$7:$K$7,MATCH($C63,Config!$B$6:$K$6,0)))</f>
        <v/>
      </c>
      <c r="G63" s="13"/>
    </row>
    <row r="64" customFormat="false" ht="15" hidden="false" customHeight="false" outlineLevel="0" collapsed="false">
      <c r="A64" s="13"/>
      <c r="B64" s="13"/>
      <c r="C64" s="13"/>
      <c r="D64" s="14"/>
      <c r="E64" s="19" t="str">
        <f aca="false">IF($B64="","",IFERROR(INDEX(Inventario!$B$12:$B$211,MATCH($B64,Inventario!$A$12:$A$211,0)),"⚠ código no existe"))</f>
        <v/>
      </c>
      <c r="F64" s="15" t="str">
        <f aca="false">IF(OR($B64="",$C64="",$D64=""),"",N($D64)*INDEX(Config!$B$7:$K$7,MATCH($C64,Config!$B$6:$K$6,0)))</f>
        <v/>
      </c>
      <c r="G64" s="13"/>
    </row>
    <row r="65" customFormat="false" ht="15" hidden="false" customHeight="false" outlineLevel="0" collapsed="false">
      <c r="A65" s="13"/>
      <c r="B65" s="13"/>
      <c r="C65" s="13"/>
      <c r="D65" s="14"/>
      <c r="E65" s="19" t="str">
        <f aca="false">IF($B65="","",IFERROR(INDEX(Inventario!$B$12:$B$211,MATCH($B65,Inventario!$A$12:$A$211,0)),"⚠ código no existe"))</f>
        <v/>
      </c>
      <c r="F65" s="15" t="str">
        <f aca="false">IF(OR($B65="",$C65="",$D65=""),"",N($D65)*INDEX(Config!$B$7:$K$7,MATCH($C65,Config!$B$6:$K$6,0)))</f>
        <v/>
      </c>
      <c r="G65" s="13"/>
    </row>
    <row r="66" customFormat="false" ht="15" hidden="false" customHeight="false" outlineLevel="0" collapsed="false">
      <c r="A66" s="13"/>
      <c r="B66" s="13"/>
      <c r="C66" s="13"/>
      <c r="D66" s="14"/>
      <c r="E66" s="19" t="str">
        <f aca="false">IF($B66="","",IFERROR(INDEX(Inventario!$B$12:$B$211,MATCH($B66,Inventario!$A$12:$A$211,0)),"⚠ código no existe"))</f>
        <v/>
      </c>
      <c r="F66" s="15" t="str">
        <f aca="false">IF(OR($B66="",$C66="",$D66=""),"",N($D66)*INDEX(Config!$B$7:$K$7,MATCH($C66,Config!$B$6:$K$6,0)))</f>
        <v/>
      </c>
      <c r="G66" s="13"/>
    </row>
    <row r="67" customFormat="false" ht="15" hidden="false" customHeight="false" outlineLevel="0" collapsed="false">
      <c r="A67" s="13"/>
      <c r="B67" s="13"/>
      <c r="C67" s="13"/>
      <c r="D67" s="14"/>
      <c r="E67" s="19" t="str">
        <f aca="false">IF($B67="","",IFERROR(INDEX(Inventario!$B$12:$B$211,MATCH($B67,Inventario!$A$12:$A$211,0)),"⚠ código no existe"))</f>
        <v/>
      </c>
      <c r="F67" s="15" t="str">
        <f aca="false">IF(OR($B67="",$C67="",$D67=""),"",N($D67)*INDEX(Config!$B$7:$K$7,MATCH($C67,Config!$B$6:$K$6,0)))</f>
        <v/>
      </c>
      <c r="G67" s="13"/>
    </row>
    <row r="68" customFormat="false" ht="15" hidden="false" customHeight="false" outlineLevel="0" collapsed="false">
      <c r="A68" s="13"/>
      <c r="B68" s="13"/>
      <c r="C68" s="13"/>
      <c r="D68" s="14"/>
      <c r="E68" s="19" t="str">
        <f aca="false">IF($B68="","",IFERROR(INDEX(Inventario!$B$12:$B$211,MATCH($B68,Inventario!$A$12:$A$211,0)),"⚠ código no existe"))</f>
        <v/>
      </c>
      <c r="F68" s="15" t="str">
        <f aca="false">IF(OR($B68="",$C68="",$D68=""),"",N($D68)*INDEX(Config!$B$7:$K$7,MATCH($C68,Config!$B$6:$K$6,0)))</f>
        <v/>
      </c>
      <c r="G68" s="13"/>
    </row>
    <row r="69" customFormat="false" ht="15" hidden="false" customHeight="false" outlineLevel="0" collapsed="false">
      <c r="A69" s="13"/>
      <c r="B69" s="13"/>
      <c r="C69" s="13"/>
      <c r="D69" s="14"/>
      <c r="E69" s="19" t="str">
        <f aca="false">IF($B69="","",IFERROR(INDEX(Inventario!$B$12:$B$211,MATCH($B69,Inventario!$A$12:$A$211,0)),"⚠ código no existe"))</f>
        <v/>
      </c>
      <c r="F69" s="15" t="str">
        <f aca="false">IF(OR($B69="",$C69="",$D69=""),"",N($D69)*INDEX(Config!$B$7:$K$7,MATCH($C69,Config!$B$6:$K$6,0)))</f>
        <v/>
      </c>
      <c r="G69" s="13"/>
    </row>
    <row r="70" customFormat="false" ht="15" hidden="false" customHeight="false" outlineLevel="0" collapsed="false">
      <c r="A70" s="13"/>
      <c r="B70" s="13"/>
      <c r="C70" s="13"/>
      <c r="D70" s="14"/>
      <c r="E70" s="19" t="str">
        <f aca="false">IF($B70="","",IFERROR(INDEX(Inventario!$B$12:$B$211,MATCH($B70,Inventario!$A$12:$A$211,0)),"⚠ código no existe"))</f>
        <v/>
      </c>
      <c r="F70" s="15" t="str">
        <f aca="false">IF(OR($B70="",$C70="",$D70=""),"",N($D70)*INDEX(Config!$B$7:$K$7,MATCH($C70,Config!$B$6:$K$6,0)))</f>
        <v/>
      </c>
      <c r="G70" s="13"/>
    </row>
    <row r="71" customFormat="false" ht="15" hidden="false" customHeight="false" outlineLevel="0" collapsed="false">
      <c r="A71" s="13"/>
      <c r="B71" s="13"/>
      <c r="C71" s="13"/>
      <c r="D71" s="14"/>
      <c r="E71" s="19" t="str">
        <f aca="false">IF($B71="","",IFERROR(INDEX(Inventario!$B$12:$B$211,MATCH($B71,Inventario!$A$12:$A$211,0)),"⚠ código no existe"))</f>
        <v/>
      </c>
      <c r="F71" s="15" t="str">
        <f aca="false">IF(OR($B71="",$C71="",$D71=""),"",N($D71)*INDEX(Config!$B$7:$K$7,MATCH($C71,Config!$B$6:$K$6,0)))</f>
        <v/>
      </c>
      <c r="G71" s="13"/>
    </row>
    <row r="72" customFormat="false" ht="15" hidden="false" customHeight="false" outlineLevel="0" collapsed="false">
      <c r="A72" s="13"/>
      <c r="B72" s="13"/>
      <c r="C72" s="13"/>
      <c r="D72" s="14"/>
      <c r="E72" s="19" t="str">
        <f aca="false">IF($B72="","",IFERROR(INDEX(Inventario!$B$12:$B$211,MATCH($B72,Inventario!$A$12:$A$211,0)),"⚠ código no existe"))</f>
        <v/>
      </c>
      <c r="F72" s="15" t="str">
        <f aca="false">IF(OR($B72="",$C72="",$D72=""),"",N($D72)*INDEX(Config!$B$7:$K$7,MATCH($C72,Config!$B$6:$K$6,0)))</f>
        <v/>
      </c>
      <c r="G72" s="13"/>
    </row>
    <row r="73" customFormat="false" ht="15" hidden="false" customHeight="false" outlineLevel="0" collapsed="false">
      <c r="A73" s="13"/>
      <c r="B73" s="13"/>
      <c r="C73" s="13"/>
      <c r="D73" s="14"/>
      <c r="E73" s="19" t="str">
        <f aca="false">IF($B73="","",IFERROR(INDEX(Inventario!$B$12:$B$211,MATCH($B73,Inventario!$A$12:$A$211,0)),"⚠ código no existe"))</f>
        <v/>
      </c>
      <c r="F73" s="15" t="str">
        <f aca="false">IF(OR($B73="",$C73="",$D73=""),"",N($D73)*INDEX(Config!$B$7:$K$7,MATCH($C73,Config!$B$6:$K$6,0)))</f>
        <v/>
      </c>
      <c r="G73" s="13"/>
    </row>
    <row r="74" customFormat="false" ht="15" hidden="false" customHeight="false" outlineLevel="0" collapsed="false">
      <c r="A74" s="13"/>
      <c r="B74" s="13"/>
      <c r="C74" s="13"/>
      <c r="D74" s="14"/>
      <c r="E74" s="19" t="str">
        <f aca="false">IF($B74="","",IFERROR(INDEX(Inventario!$B$12:$B$211,MATCH($B74,Inventario!$A$12:$A$211,0)),"⚠ código no existe"))</f>
        <v/>
      </c>
      <c r="F74" s="15" t="str">
        <f aca="false">IF(OR($B74="",$C74="",$D74=""),"",N($D74)*INDEX(Config!$B$7:$K$7,MATCH($C74,Config!$B$6:$K$6,0)))</f>
        <v/>
      </c>
      <c r="G74" s="13"/>
    </row>
    <row r="75" customFormat="false" ht="15" hidden="false" customHeight="false" outlineLevel="0" collapsed="false">
      <c r="A75" s="13"/>
      <c r="B75" s="13"/>
      <c r="C75" s="13"/>
      <c r="D75" s="14"/>
      <c r="E75" s="19" t="str">
        <f aca="false">IF($B75="","",IFERROR(INDEX(Inventario!$B$12:$B$211,MATCH($B75,Inventario!$A$12:$A$211,0)),"⚠ código no existe"))</f>
        <v/>
      </c>
      <c r="F75" s="15" t="str">
        <f aca="false">IF(OR($B75="",$C75="",$D75=""),"",N($D75)*INDEX(Config!$B$7:$K$7,MATCH($C75,Config!$B$6:$K$6,0)))</f>
        <v/>
      </c>
      <c r="G75" s="13"/>
    </row>
    <row r="76" customFormat="false" ht="15" hidden="false" customHeight="false" outlineLevel="0" collapsed="false">
      <c r="A76" s="13"/>
      <c r="B76" s="13"/>
      <c r="C76" s="13"/>
      <c r="D76" s="14"/>
      <c r="E76" s="19" t="str">
        <f aca="false">IF($B76="","",IFERROR(INDEX(Inventario!$B$12:$B$211,MATCH($B76,Inventario!$A$12:$A$211,0)),"⚠ código no existe"))</f>
        <v/>
      </c>
      <c r="F76" s="15" t="str">
        <f aca="false">IF(OR($B76="",$C76="",$D76=""),"",N($D76)*INDEX(Config!$B$7:$K$7,MATCH($C76,Config!$B$6:$K$6,0)))</f>
        <v/>
      </c>
      <c r="G76" s="13"/>
    </row>
    <row r="77" customFormat="false" ht="15" hidden="false" customHeight="false" outlineLevel="0" collapsed="false">
      <c r="A77" s="13"/>
      <c r="B77" s="13"/>
      <c r="C77" s="13"/>
      <c r="D77" s="14"/>
      <c r="E77" s="19" t="str">
        <f aca="false">IF($B77="","",IFERROR(INDEX(Inventario!$B$12:$B$211,MATCH($B77,Inventario!$A$12:$A$211,0)),"⚠ código no existe"))</f>
        <v/>
      </c>
      <c r="F77" s="15" t="str">
        <f aca="false">IF(OR($B77="",$C77="",$D77=""),"",N($D77)*INDEX(Config!$B$7:$K$7,MATCH($C77,Config!$B$6:$K$6,0)))</f>
        <v/>
      </c>
      <c r="G77" s="13"/>
    </row>
    <row r="78" customFormat="false" ht="15" hidden="false" customHeight="false" outlineLevel="0" collapsed="false">
      <c r="A78" s="13"/>
      <c r="B78" s="13"/>
      <c r="C78" s="13"/>
      <c r="D78" s="14"/>
      <c r="E78" s="19" t="str">
        <f aca="false">IF($B78="","",IFERROR(INDEX(Inventario!$B$12:$B$211,MATCH($B78,Inventario!$A$12:$A$211,0)),"⚠ código no existe"))</f>
        <v/>
      </c>
      <c r="F78" s="15" t="str">
        <f aca="false">IF(OR($B78="",$C78="",$D78=""),"",N($D78)*INDEX(Config!$B$7:$K$7,MATCH($C78,Config!$B$6:$K$6,0)))</f>
        <v/>
      </c>
      <c r="G78" s="13"/>
    </row>
    <row r="79" customFormat="false" ht="15" hidden="false" customHeight="false" outlineLevel="0" collapsed="false">
      <c r="A79" s="13"/>
      <c r="B79" s="13"/>
      <c r="C79" s="13"/>
      <c r="D79" s="14"/>
      <c r="E79" s="19" t="str">
        <f aca="false">IF($B79="","",IFERROR(INDEX(Inventario!$B$12:$B$211,MATCH($B79,Inventario!$A$12:$A$211,0)),"⚠ código no existe"))</f>
        <v/>
      </c>
      <c r="F79" s="15" t="str">
        <f aca="false">IF(OR($B79="",$C79="",$D79=""),"",N($D79)*INDEX(Config!$B$7:$K$7,MATCH($C79,Config!$B$6:$K$6,0)))</f>
        <v/>
      </c>
      <c r="G79" s="13"/>
    </row>
    <row r="80" customFormat="false" ht="15" hidden="false" customHeight="false" outlineLevel="0" collapsed="false">
      <c r="A80" s="13"/>
      <c r="B80" s="13"/>
      <c r="C80" s="13"/>
      <c r="D80" s="14"/>
      <c r="E80" s="19" t="str">
        <f aca="false">IF($B80="","",IFERROR(INDEX(Inventario!$B$12:$B$211,MATCH($B80,Inventario!$A$12:$A$211,0)),"⚠ código no existe"))</f>
        <v/>
      </c>
      <c r="F80" s="15" t="str">
        <f aca="false">IF(OR($B80="",$C80="",$D80=""),"",N($D80)*INDEX(Config!$B$7:$K$7,MATCH($C80,Config!$B$6:$K$6,0)))</f>
        <v/>
      </c>
      <c r="G80" s="13"/>
    </row>
    <row r="81" customFormat="false" ht="15" hidden="false" customHeight="false" outlineLevel="0" collapsed="false">
      <c r="A81" s="13"/>
      <c r="B81" s="13"/>
      <c r="C81" s="13"/>
      <c r="D81" s="14"/>
      <c r="E81" s="19" t="str">
        <f aca="false">IF($B81="","",IFERROR(INDEX(Inventario!$B$12:$B$211,MATCH($B81,Inventario!$A$12:$A$211,0)),"⚠ código no existe"))</f>
        <v/>
      </c>
      <c r="F81" s="15" t="str">
        <f aca="false">IF(OR($B81="",$C81="",$D81=""),"",N($D81)*INDEX(Config!$B$7:$K$7,MATCH($C81,Config!$B$6:$K$6,0)))</f>
        <v/>
      </c>
      <c r="G81" s="13"/>
    </row>
    <row r="82" customFormat="false" ht="15" hidden="false" customHeight="false" outlineLevel="0" collapsed="false">
      <c r="A82" s="13"/>
      <c r="B82" s="13"/>
      <c r="C82" s="13"/>
      <c r="D82" s="14"/>
      <c r="E82" s="19" t="str">
        <f aca="false">IF($B82="","",IFERROR(INDEX(Inventario!$B$12:$B$211,MATCH($B82,Inventario!$A$12:$A$211,0)),"⚠ código no existe"))</f>
        <v/>
      </c>
      <c r="F82" s="15" t="str">
        <f aca="false">IF(OR($B82="",$C82="",$D82=""),"",N($D82)*INDEX(Config!$B$7:$K$7,MATCH($C82,Config!$B$6:$K$6,0)))</f>
        <v/>
      </c>
      <c r="G82" s="13"/>
    </row>
    <row r="83" customFormat="false" ht="15" hidden="false" customHeight="false" outlineLevel="0" collapsed="false">
      <c r="A83" s="13"/>
      <c r="B83" s="13"/>
      <c r="C83" s="13"/>
      <c r="D83" s="14"/>
      <c r="E83" s="19" t="str">
        <f aca="false">IF($B83="","",IFERROR(INDEX(Inventario!$B$12:$B$211,MATCH($B83,Inventario!$A$12:$A$211,0)),"⚠ código no existe"))</f>
        <v/>
      </c>
      <c r="F83" s="15" t="str">
        <f aca="false">IF(OR($B83="",$C83="",$D83=""),"",N($D83)*INDEX(Config!$B$7:$K$7,MATCH($C83,Config!$B$6:$K$6,0)))</f>
        <v/>
      </c>
      <c r="G83" s="13"/>
    </row>
    <row r="84" customFormat="false" ht="15" hidden="false" customHeight="false" outlineLevel="0" collapsed="false">
      <c r="A84" s="13"/>
      <c r="B84" s="13"/>
      <c r="C84" s="13"/>
      <c r="D84" s="14"/>
      <c r="E84" s="19" t="str">
        <f aca="false">IF($B84="","",IFERROR(INDEX(Inventario!$B$12:$B$211,MATCH($B84,Inventario!$A$12:$A$211,0)),"⚠ código no existe"))</f>
        <v/>
      </c>
      <c r="F84" s="15" t="str">
        <f aca="false">IF(OR($B84="",$C84="",$D84=""),"",N($D84)*INDEX(Config!$B$7:$K$7,MATCH($C84,Config!$B$6:$K$6,0)))</f>
        <v/>
      </c>
      <c r="G84" s="13"/>
    </row>
    <row r="85" customFormat="false" ht="15" hidden="false" customHeight="false" outlineLevel="0" collapsed="false">
      <c r="A85" s="13"/>
      <c r="B85" s="13"/>
      <c r="C85" s="13"/>
      <c r="D85" s="14"/>
      <c r="E85" s="19" t="str">
        <f aca="false">IF($B85="","",IFERROR(INDEX(Inventario!$B$12:$B$211,MATCH($B85,Inventario!$A$12:$A$211,0)),"⚠ código no existe"))</f>
        <v/>
      </c>
      <c r="F85" s="15" t="str">
        <f aca="false">IF(OR($B85="",$C85="",$D85=""),"",N($D85)*INDEX(Config!$B$7:$K$7,MATCH($C85,Config!$B$6:$K$6,0)))</f>
        <v/>
      </c>
      <c r="G85" s="13"/>
    </row>
    <row r="86" customFormat="false" ht="15" hidden="false" customHeight="false" outlineLevel="0" collapsed="false">
      <c r="A86" s="13"/>
      <c r="B86" s="13"/>
      <c r="C86" s="13"/>
      <c r="D86" s="14"/>
      <c r="E86" s="19" t="str">
        <f aca="false">IF($B86="","",IFERROR(INDEX(Inventario!$B$12:$B$211,MATCH($B86,Inventario!$A$12:$A$211,0)),"⚠ código no existe"))</f>
        <v/>
      </c>
      <c r="F86" s="15" t="str">
        <f aca="false">IF(OR($B86="",$C86="",$D86=""),"",N($D86)*INDEX(Config!$B$7:$K$7,MATCH($C86,Config!$B$6:$K$6,0)))</f>
        <v/>
      </c>
      <c r="G86" s="13"/>
    </row>
    <row r="87" customFormat="false" ht="15" hidden="false" customHeight="false" outlineLevel="0" collapsed="false">
      <c r="A87" s="13"/>
      <c r="B87" s="13"/>
      <c r="C87" s="13"/>
      <c r="D87" s="14"/>
      <c r="E87" s="19" t="str">
        <f aca="false">IF($B87="","",IFERROR(INDEX(Inventario!$B$12:$B$211,MATCH($B87,Inventario!$A$12:$A$211,0)),"⚠ código no existe"))</f>
        <v/>
      </c>
      <c r="F87" s="15" t="str">
        <f aca="false">IF(OR($B87="",$C87="",$D87=""),"",N($D87)*INDEX(Config!$B$7:$K$7,MATCH($C87,Config!$B$6:$K$6,0)))</f>
        <v/>
      </c>
      <c r="G87" s="13"/>
    </row>
    <row r="88" customFormat="false" ht="15" hidden="false" customHeight="false" outlineLevel="0" collapsed="false">
      <c r="A88" s="13"/>
      <c r="B88" s="13"/>
      <c r="C88" s="13"/>
      <c r="D88" s="14"/>
      <c r="E88" s="19" t="str">
        <f aca="false">IF($B88="","",IFERROR(INDEX(Inventario!$B$12:$B$211,MATCH($B88,Inventario!$A$12:$A$211,0)),"⚠ código no existe"))</f>
        <v/>
      </c>
      <c r="F88" s="15" t="str">
        <f aca="false">IF(OR($B88="",$C88="",$D88=""),"",N($D88)*INDEX(Config!$B$7:$K$7,MATCH($C88,Config!$B$6:$K$6,0)))</f>
        <v/>
      </c>
      <c r="G88" s="13"/>
    </row>
    <row r="89" customFormat="false" ht="15" hidden="false" customHeight="false" outlineLevel="0" collapsed="false">
      <c r="A89" s="13"/>
      <c r="B89" s="13"/>
      <c r="C89" s="13"/>
      <c r="D89" s="14"/>
      <c r="E89" s="19" t="str">
        <f aca="false">IF($B89="","",IFERROR(INDEX(Inventario!$B$12:$B$211,MATCH($B89,Inventario!$A$12:$A$211,0)),"⚠ código no existe"))</f>
        <v/>
      </c>
      <c r="F89" s="15" t="str">
        <f aca="false">IF(OR($B89="",$C89="",$D89=""),"",N($D89)*INDEX(Config!$B$7:$K$7,MATCH($C89,Config!$B$6:$K$6,0)))</f>
        <v/>
      </c>
      <c r="G89" s="13"/>
    </row>
    <row r="90" customFormat="false" ht="15" hidden="false" customHeight="false" outlineLevel="0" collapsed="false">
      <c r="A90" s="13"/>
      <c r="B90" s="13"/>
      <c r="C90" s="13"/>
      <c r="D90" s="14"/>
      <c r="E90" s="19" t="str">
        <f aca="false">IF($B90="","",IFERROR(INDEX(Inventario!$B$12:$B$211,MATCH($B90,Inventario!$A$12:$A$211,0)),"⚠ código no existe"))</f>
        <v/>
      </c>
      <c r="F90" s="15" t="str">
        <f aca="false">IF(OR($B90="",$C90="",$D90=""),"",N($D90)*INDEX(Config!$B$7:$K$7,MATCH($C90,Config!$B$6:$K$6,0)))</f>
        <v/>
      </c>
      <c r="G90" s="13"/>
    </row>
    <row r="91" customFormat="false" ht="15" hidden="false" customHeight="false" outlineLevel="0" collapsed="false">
      <c r="A91" s="13"/>
      <c r="B91" s="13"/>
      <c r="C91" s="13"/>
      <c r="D91" s="14"/>
      <c r="E91" s="19" t="str">
        <f aca="false">IF($B91="","",IFERROR(INDEX(Inventario!$B$12:$B$211,MATCH($B91,Inventario!$A$12:$A$211,0)),"⚠ código no existe"))</f>
        <v/>
      </c>
      <c r="F91" s="15" t="str">
        <f aca="false">IF(OR($B91="",$C91="",$D91=""),"",N($D91)*INDEX(Config!$B$7:$K$7,MATCH($C91,Config!$B$6:$K$6,0)))</f>
        <v/>
      </c>
      <c r="G91" s="13"/>
    </row>
    <row r="92" customFormat="false" ht="15" hidden="false" customHeight="false" outlineLevel="0" collapsed="false">
      <c r="A92" s="13"/>
      <c r="B92" s="13"/>
      <c r="C92" s="13"/>
      <c r="D92" s="14"/>
      <c r="E92" s="19" t="str">
        <f aca="false">IF($B92="","",IFERROR(INDEX(Inventario!$B$12:$B$211,MATCH($B92,Inventario!$A$12:$A$211,0)),"⚠ código no existe"))</f>
        <v/>
      </c>
      <c r="F92" s="15" t="str">
        <f aca="false">IF(OR($B92="",$C92="",$D92=""),"",N($D92)*INDEX(Config!$B$7:$K$7,MATCH($C92,Config!$B$6:$K$6,0)))</f>
        <v/>
      </c>
      <c r="G92" s="13"/>
    </row>
    <row r="93" customFormat="false" ht="15" hidden="false" customHeight="false" outlineLevel="0" collapsed="false">
      <c r="A93" s="13"/>
      <c r="B93" s="13"/>
      <c r="C93" s="13"/>
      <c r="D93" s="14"/>
      <c r="E93" s="19" t="str">
        <f aca="false">IF($B93="","",IFERROR(INDEX(Inventario!$B$12:$B$211,MATCH($B93,Inventario!$A$12:$A$211,0)),"⚠ código no existe"))</f>
        <v/>
      </c>
      <c r="F93" s="15" t="str">
        <f aca="false">IF(OR($B93="",$C93="",$D93=""),"",N($D93)*INDEX(Config!$B$7:$K$7,MATCH($C93,Config!$B$6:$K$6,0)))</f>
        <v/>
      </c>
      <c r="G93" s="13"/>
    </row>
    <row r="94" customFormat="false" ht="15" hidden="false" customHeight="false" outlineLevel="0" collapsed="false">
      <c r="A94" s="13"/>
      <c r="B94" s="13"/>
      <c r="C94" s="13"/>
      <c r="D94" s="14"/>
      <c r="E94" s="19" t="str">
        <f aca="false">IF($B94="","",IFERROR(INDEX(Inventario!$B$12:$B$211,MATCH($B94,Inventario!$A$12:$A$211,0)),"⚠ código no existe"))</f>
        <v/>
      </c>
      <c r="F94" s="15" t="str">
        <f aca="false">IF(OR($B94="",$C94="",$D94=""),"",N($D94)*INDEX(Config!$B$7:$K$7,MATCH($C94,Config!$B$6:$K$6,0)))</f>
        <v/>
      </c>
      <c r="G94" s="13"/>
    </row>
    <row r="95" customFormat="false" ht="15" hidden="false" customHeight="false" outlineLevel="0" collapsed="false">
      <c r="A95" s="13"/>
      <c r="B95" s="13"/>
      <c r="C95" s="13"/>
      <c r="D95" s="14"/>
      <c r="E95" s="19" t="str">
        <f aca="false">IF($B95="","",IFERROR(INDEX(Inventario!$B$12:$B$211,MATCH($B95,Inventario!$A$12:$A$211,0)),"⚠ código no existe"))</f>
        <v/>
      </c>
      <c r="F95" s="15" t="str">
        <f aca="false">IF(OR($B95="",$C95="",$D95=""),"",N($D95)*INDEX(Config!$B$7:$K$7,MATCH($C95,Config!$B$6:$K$6,0)))</f>
        <v/>
      </c>
      <c r="G95" s="13"/>
    </row>
    <row r="96" customFormat="false" ht="15" hidden="false" customHeight="false" outlineLevel="0" collapsed="false">
      <c r="A96" s="13"/>
      <c r="B96" s="13"/>
      <c r="C96" s="13"/>
      <c r="D96" s="14"/>
      <c r="E96" s="19" t="str">
        <f aca="false">IF($B96="","",IFERROR(INDEX(Inventario!$B$12:$B$211,MATCH($B96,Inventario!$A$12:$A$211,0)),"⚠ código no existe"))</f>
        <v/>
      </c>
      <c r="F96" s="15" t="str">
        <f aca="false">IF(OR($B96="",$C96="",$D96=""),"",N($D96)*INDEX(Config!$B$7:$K$7,MATCH($C96,Config!$B$6:$K$6,0)))</f>
        <v/>
      </c>
      <c r="G96" s="13"/>
    </row>
    <row r="97" customFormat="false" ht="15" hidden="false" customHeight="false" outlineLevel="0" collapsed="false">
      <c r="A97" s="13"/>
      <c r="B97" s="13"/>
      <c r="C97" s="13"/>
      <c r="D97" s="14"/>
      <c r="E97" s="19" t="str">
        <f aca="false">IF($B97="","",IFERROR(INDEX(Inventario!$B$12:$B$211,MATCH($B97,Inventario!$A$12:$A$211,0)),"⚠ código no existe"))</f>
        <v/>
      </c>
      <c r="F97" s="15" t="str">
        <f aca="false">IF(OR($B97="",$C97="",$D97=""),"",N($D97)*INDEX(Config!$B$7:$K$7,MATCH($C97,Config!$B$6:$K$6,0)))</f>
        <v/>
      </c>
      <c r="G97" s="13"/>
    </row>
    <row r="98" customFormat="false" ht="15" hidden="false" customHeight="false" outlineLevel="0" collapsed="false">
      <c r="A98" s="13"/>
      <c r="B98" s="13"/>
      <c r="C98" s="13"/>
      <c r="D98" s="14"/>
      <c r="E98" s="19" t="str">
        <f aca="false">IF($B98="","",IFERROR(INDEX(Inventario!$B$12:$B$211,MATCH($B98,Inventario!$A$12:$A$211,0)),"⚠ código no existe"))</f>
        <v/>
      </c>
      <c r="F98" s="15" t="str">
        <f aca="false">IF(OR($B98="",$C98="",$D98=""),"",N($D98)*INDEX(Config!$B$7:$K$7,MATCH($C98,Config!$B$6:$K$6,0)))</f>
        <v/>
      </c>
      <c r="G98" s="13"/>
    </row>
    <row r="99" customFormat="false" ht="15" hidden="false" customHeight="false" outlineLevel="0" collapsed="false">
      <c r="A99" s="13"/>
      <c r="B99" s="13"/>
      <c r="C99" s="13"/>
      <c r="D99" s="14"/>
      <c r="E99" s="19" t="str">
        <f aca="false">IF($B99="","",IFERROR(INDEX(Inventario!$B$12:$B$211,MATCH($B99,Inventario!$A$12:$A$211,0)),"⚠ código no existe"))</f>
        <v/>
      </c>
      <c r="F99" s="15" t="str">
        <f aca="false">IF(OR($B99="",$C99="",$D99=""),"",N($D99)*INDEX(Config!$B$7:$K$7,MATCH($C99,Config!$B$6:$K$6,0)))</f>
        <v/>
      </c>
      <c r="G99" s="13"/>
    </row>
    <row r="100" customFormat="false" ht="15" hidden="false" customHeight="false" outlineLevel="0" collapsed="false">
      <c r="A100" s="13"/>
      <c r="B100" s="13"/>
      <c r="C100" s="13"/>
      <c r="D100" s="14"/>
      <c r="E100" s="19" t="str">
        <f aca="false">IF($B100="","",IFERROR(INDEX(Inventario!$B$12:$B$211,MATCH($B100,Inventario!$A$12:$A$211,0)),"⚠ código no existe"))</f>
        <v/>
      </c>
      <c r="F100" s="15" t="str">
        <f aca="false">IF(OR($B100="",$C100="",$D100=""),"",N($D100)*INDEX(Config!$B$7:$K$7,MATCH($C100,Config!$B$6:$K$6,0)))</f>
        <v/>
      </c>
      <c r="G100" s="13"/>
    </row>
    <row r="101" customFormat="false" ht="15" hidden="false" customHeight="false" outlineLevel="0" collapsed="false">
      <c r="A101" s="13"/>
      <c r="B101" s="13"/>
      <c r="C101" s="13"/>
      <c r="D101" s="14"/>
      <c r="E101" s="19" t="str">
        <f aca="false">IF($B101="","",IFERROR(INDEX(Inventario!$B$12:$B$211,MATCH($B101,Inventario!$A$12:$A$211,0)),"⚠ código no existe"))</f>
        <v/>
      </c>
      <c r="F101" s="15" t="str">
        <f aca="false">IF(OR($B101="",$C101="",$D101=""),"",N($D101)*INDEX(Config!$B$7:$K$7,MATCH($C101,Config!$B$6:$K$6,0)))</f>
        <v/>
      </c>
      <c r="G101" s="13"/>
    </row>
    <row r="102" customFormat="false" ht="15" hidden="false" customHeight="false" outlineLevel="0" collapsed="false">
      <c r="A102" s="13"/>
      <c r="B102" s="13"/>
      <c r="C102" s="13"/>
      <c r="D102" s="14"/>
      <c r="E102" s="19" t="str">
        <f aca="false">IF($B102="","",IFERROR(INDEX(Inventario!$B$12:$B$211,MATCH($B102,Inventario!$A$12:$A$211,0)),"⚠ código no existe"))</f>
        <v/>
      </c>
      <c r="F102" s="15" t="str">
        <f aca="false">IF(OR($B102="",$C102="",$D102=""),"",N($D102)*INDEX(Config!$B$7:$K$7,MATCH($C102,Config!$B$6:$K$6,0)))</f>
        <v/>
      </c>
      <c r="G102" s="13"/>
    </row>
    <row r="103" customFormat="false" ht="15" hidden="false" customHeight="false" outlineLevel="0" collapsed="false">
      <c r="A103" s="13"/>
      <c r="B103" s="13"/>
      <c r="C103" s="13"/>
      <c r="D103" s="14"/>
      <c r="E103" s="19" t="str">
        <f aca="false">IF($B103="","",IFERROR(INDEX(Inventario!$B$12:$B$211,MATCH($B103,Inventario!$A$12:$A$211,0)),"⚠ código no existe"))</f>
        <v/>
      </c>
      <c r="F103" s="15" t="str">
        <f aca="false">IF(OR($B103="",$C103="",$D103=""),"",N($D103)*INDEX(Config!$B$7:$K$7,MATCH($C103,Config!$B$6:$K$6,0)))</f>
        <v/>
      </c>
      <c r="G103" s="13"/>
    </row>
    <row r="104" customFormat="false" ht="15" hidden="false" customHeight="false" outlineLevel="0" collapsed="false">
      <c r="A104" s="13"/>
      <c r="B104" s="13"/>
      <c r="C104" s="13"/>
      <c r="D104" s="14"/>
      <c r="E104" s="19" t="str">
        <f aca="false">IF($B104="","",IFERROR(INDEX(Inventario!$B$12:$B$211,MATCH($B104,Inventario!$A$12:$A$211,0)),"⚠ código no existe"))</f>
        <v/>
      </c>
      <c r="F104" s="15" t="str">
        <f aca="false">IF(OR($B104="",$C104="",$D104=""),"",N($D104)*INDEX(Config!$B$7:$K$7,MATCH($C104,Config!$B$6:$K$6,0)))</f>
        <v/>
      </c>
      <c r="G104" s="13"/>
    </row>
    <row r="105" customFormat="false" ht="15" hidden="false" customHeight="false" outlineLevel="0" collapsed="false">
      <c r="A105" s="13"/>
      <c r="B105" s="13"/>
      <c r="C105" s="13"/>
      <c r="D105" s="14"/>
      <c r="E105" s="19" t="str">
        <f aca="false">IF($B105="","",IFERROR(INDEX(Inventario!$B$12:$B$211,MATCH($B105,Inventario!$A$12:$A$211,0)),"⚠ código no existe"))</f>
        <v/>
      </c>
      <c r="F105" s="15" t="str">
        <f aca="false">IF(OR($B105="",$C105="",$D105=""),"",N($D105)*INDEX(Config!$B$7:$K$7,MATCH($C105,Config!$B$6:$K$6,0)))</f>
        <v/>
      </c>
      <c r="G105" s="13"/>
    </row>
    <row r="106" customFormat="false" ht="15" hidden="false" customHeight="false" outlineLevel="0" collapsed="false">
      <c r="A106" s="13"/>
      <c r="B106" s="13"/>
      <c r="C106" s="13"/>
      <c r="D106" s="14"/>
      <c r="E106" s="19" t="str">
        <f aca="false">IF($B106="","",IFERROR(INDEX(Inventario!$B$12:$B$211,MATCH($B106,Inventario!$A$12:$A$211,0)),"⚠ código no existe"))</f>
        <v/>
      </c>
      <c r="F106" s="15" t="str">
        <f aca="false">IF(OR($B106="",$C106="",$D106=""),"",N($D106)*INDEX(Config!$B$7:$K$7,MATCH($C106,Config!$B$6:$K$6,0)))</f>
        <v/>
      </c>
      <c r="G106" s="13"/>
    </row>
    <row r="107" customFormat="false" ht="15" hidden="false" customHeight="false" outlineLevel="0" collapsed="false">
      <c r="A107" s="13"/>
      <c r="B107" s="13"/>
      <c r="C107" s="13"/>
      <c r="D107" s="14"/>
      <c r="E107" s="19" t="str">
        <f aca="false">IF($B107="","",IFERROR(INDEX(Inventario!$B$12:$B$211,MATCH($B107,Inventario!$A$12:$A$211,0)),"⚠ código no existe"))</f>
        <v/>
      </c>
      <c r="F107" s="15" t="str">
        <f aca="false">IF(OR($B107="",$C107="",$D107=""),"",N($D107)*INDEX(Config!$B$7:$K$7,MATCH($C107,Config!$B$6:$K$6,0)))</f>
        <v/>
      </c>
      <c r="G107" s="13"/>
    </row>
    <row r="108" customFormat="false" ht="15" hidden="false" customHeight="false" outlineLevel="0" collapsed="false">
      <c r="A108" s="13"/>
      <c r="B108" s="13"/>
      <c r="C108" s="13"/>
      <c r="D108" s="14"/>
      <c r="E108" s="19" t="str">
        <f aca="false">IF($B108="","",IFERROR(INDEX(Inventario!$B$12:$B$211,MATCH($B108,Inventario!$A$12:$A$211,0)),"⚠ código no existe"))</f>
        <v/>
      </c>
      <c r="F108" s="15" t="str">
        <f aca="false">IF(OR($B108="",$C108="",$D108=""),"",N($D108)*INDEX(Config!$B$7:$K$7,MATCH($C108,Config!$B$6:$K$6,0)))</f>
        <v/>
      </c>
      <c r="G108" s="13"/>
    </row>
    <row r="109" customFormat="false" ht="15" hidden="false" customHeight="false" outlineLevel="0" collapsed="false">
      <c r="A109" s="13"/>
      <c r="B109" s="13"/>
      <c r="C109" s="13"/>
      <c r="D109" s="14"/>
      <c r="E109" s="19" t="str">
        <f aca="false">IF($B109="","",IFERROR(INDEX(Inventario!$B$12:$B$211,MATCH($B109,Inventario!$A$12:$A$211,0)),"⚠ código no existe"))</f>
        <v/>
      </c>
      <c r="F109" s="15" t="str">
        <f aca="false">IF(OR($B109="",$C109="",$D109=""),"",N($D109)*INDEX(Config!$B$7:$K$7,MATCH($C109,Config!$B$6:$K$6,0)))</f>
        <v/>
      </c>
      <c r="G109" s="13"/>
    </row>
    <row r="110" customFormat="false" ht="15" hidden="false" customHeight="false" outlineLevel="0" collapsed="false">
      <c r="A110" s="13"/>
      <c r="B110" s="13"/>
      <c r="C110" s="13"/>
      <c r="D110" s="14"/>
      <c r="E110" s="19" t="str">
        <f aca="false">IF($B110="","",IFERROR(INDEX(Inventario!$B$12:$B$211,MATCH($B110,Inventario!$A$12:$A$211,0)),"⚠ código no existe"))</f>
        <v/>
      </c>
      <c r="F110" s="15" t="str">
        <f aca="false">IF(OR($B110="",$C110="",$D110=""),"",N($D110)*INDEX(Config!$B$7:$K$7,MATCH($C110,Config!$B$6:$K$6,0)))</f>
        <v/>
      </c>
      <c r="G110" s="13"/>
    </row>
    <row r="111" customFormat="false" ht="15" hidden="false" customHeight="false" outlineLevel="0" collapsed="false">
      <c r="A111" s="13"/>
      <c r="B111" s="13"/>
      <c r="C111" s="13"/>
      <c r="D111" s="14"/>
      <c r="E111" s="19" t="str">
        <f aca="false">IF($B111="","",IFERROR(INDEX(Inventario!$B$12:$B$211,MATCH($B111,Inventario!$A$12:$A$211,0)),"⚠ código no existe"))</f>
        <v/>
      </c>
      <c r="F111" s="15" t="str">
        <f aca="false">IF(OR($B111="",$C111="",$D111=""),"",N($D111)*INDEX(Config!$B$7:$K$7,MATCH($C111,Config!$B$6:$K$6,0)))</f>
        <v/>
      </c>
      <c r="G111" s="13"/>
    </row>
    <row r="112" customFormat="false" ht="15" hidden="false" customHeight="false" outlineLevel="0" collapsed="false">
      <c r="A112" s="13"/>
      <c r="B112" s="13"/>
      <c r="C112" s="13"/>
      <c r="D112" s="14"/>
      <c r="E112" s="19" t="str">
        <f aca="false">IF($B112="","",IFERROR(INDEX(Inventario!$B$12:$B$211,MATCH($B112,Inventario!$A$12:$A$211,0)),"⚠ código no existe"))</f>
        <v/>
      </c>
      <c r="F112" s="15" t="str">
        <f aca="false">IF(OR($B112="",$C112="",$D112=""),"",N($D112)*INDEX(Config!$B$7:$K$7,MATCH($C112,Config!$B$6:$K$6,0)))</f>
        <v/>
      </c>
      <c r="G112" s="13"/>
    </row>
    <row r="113" customFormat="false" ht="15" hidden="false" customHeight="false" outlineLevel="0" collapsed="false">
      <c r="A113" s="13"/>
      <c r="B113" s="13"/>
      <c r="C113" s="13"/>
      <c r="D113" s="14"/>
      <c r="E113" s="19" t="str">
        <f aca="false">IF($B113="","",IFERROR(INDEX(Inventario!$B$12:$B$211,MATCH($B113,Inventario!$A$12:$A$211,0)),"⚠ código no existe"))</f>
        <v/>
      </c>
      <c r="F113" s="15" t="str">
        <f aca="false">IF(OR($B113="",$C113="",$D113=""),"",N($D113)*INDEX(Config!$B$7:$K$7,MATCH($C113,Config!$B$6:$K$6,0)))</f>
        <v/>
      </c>
      <c r="G113" s="13"/>
    </row>
    <row r="114" customFormat="false" ht="15" hidden="false" customHeight="false" outlineLevel="0" collapsed="false">
      <c r="A114" s="13"/>
      <c r="B114" s="13"/>
      <c r="C114" s="13"/>
      <c r="D114" s="14"/>
      <c r="E114" s="19" t="str">
        <f aca="false">IF($B114="","",IFERROR(INDEX(Inventario!$B$12:$B$211,MATCH($B114,Inventario!$A$12:$A$211,0)),"⚠ código no existe"))</f>
        <v/>
      </c>
      <c r="F114" s="15" t="str">
        <f aca="false">IF(OR($B114="",$C114="",$D114=""),"",N($D114)*INDEX(Config!$B$7:$K$7,MATCH($C114,Config!$B$6:$K$6,0)))</f>
        <v/>
      </c>
      <c r="G114" s="13"/>
    </row>
    <row r="115" customFormat="false" ht="15" hidden="false" customHeight="false" outlineLevel="0" collapsed="false">
      <c r="A115" s="13"/>
      <c r="B115" s="13"/>
      <c r="C115" s="13"/>
      <c r="D115" s="14"/>
      <c r="E115" s="19" t="str">
        <f aca="false">IF($B115="","",IFERROR(INDEX(Inventario!$B$12:$B$211,MATCH($B115,Inventario!$A$12:$A$211,0)),"⚠ código no existe"))</f>
        <v/>
      </c>
      <c r="F115" s="15" t="str">
        <f aca="false">IF(OR($B115="",$C115="",$D115=""),"",N($D115)*INDEX(Config!$B$7:$K$7,MATCH($C115,Config!$B$6:$K$6,0)))</f>
        <v/>
      </c>
      <c r="G115" s="13"/>
    </row>
    <row r="116" customFormat="false" ht="15" hidden="false" customHeight="false" outlineLevel="0" collapsed="false">
      <c r="A116" s="13"/>
      <c r="B116" s="13"/>
      <c r="C116" s="13"/>
      <c r="D116" s="14"/>
      <c r="E116" s="19" t="str">
        <f aca="false">IF($B116="","",IFERROR(INDEX(Inventario!$B$12:$B$211,MATCH($B116,Inventario!$A$12:$A$211,0)),"⚠ código no existe"))</f>
        <v/>
      </c>
      <c r="F116" s="15" t="str">
        <f aca="false">IF(OR($B116="",$C116="",$D116=""),"",N($D116)*INDEX(Config!$B$7:$K$7,MATCH($C116,Config!$B$6:$K$6,0)))</f>
        <v/>
      </c>
      <c r="G116" s="13"/>
    </row>
    <row r="117" customFormat="false" ht="15" hidden="false" customHeight="false" outlineLevel="0" collapsed="false">
      <c r="A117" s="13"/>
      <c r="B117" s="13"/>
      <c r="C117" s="13"/>
      <c r="D117" s="14"/>
      <c r="E117" s="19" t="str">
        <f aca="false">IF($B117="","",IFERROR(INDEX(Inventario!$B$12:$B$211,MATCH($B117,Inventario!$A$12:$A$211,0)),"⚠ código no existe"))</f>
        <v/>
      </c>
      <c r="F117" s="15" t="str">
        <f aca="false">IF(OR($B117="",$C117="",$D117=""),"",N($D117)*INDEX(Config!$B$7:$K$7,MATCH($C117,Config!$B$6:$K$6,0)))</f>
        <v/>
      </c>
      <c r="G117" s="13"/>
    </row>
    <row r="118" customFormat="false" ht="15" hidden="false" customHeight="false" outlineLevel="0" collapsed="false">
      <c r="A118" s="13"/>
      <c r="B118" s="13"/>
      <c r="C118" s="13"/>
      <c r="D118" s="14"/>
      <c r="E118" s="19" t="str">
        <f aca="false">IF($B118="","",IFERROR(INDEX(Inventario!$B$12:$B$211,MATCH($B118,Inventario!$A$12:$A$211,0)),"⚠ código no existe"))</f>
        <v/>
      </c>
      <c r="F118" s="15" t="str">
        <f aca="false">IF(OR($B118="",$C118="",$D118=""),"",N($D118)*INDEX(Config!$B$7:$K$7,MATCH($C118,Config!$B$6:$K$6,0)))</f>
        <v/>
      </c>
      <c r="G118" s="13"/>
    </row>
    <row r="119" customFormat="false" ht="15" hidden="false" customHeight="false" outlineLevel="0" collapsed="false">
      <c r="A119" s="13"/>
      <c r="B119" s="13"/>
      <c r="C119" s="13"/>
      <c r="D119" s="14"/>
      <c r="E119" s="19" t="str">
        <f aca="false">IF($B119="","",IFERROR(INDEX(Inventario!$B$12:$B$211,MATCH($B119,Inventario!$A$12:$A$211,0)),"⚠ código no existe"))</f>
        <v/>
      </c>
      <c r="F119" s="15" t="str">
        <f aca="false">IF(OR($B119="",$C119="",$D119=""),"",N($D119)*INDEX(Config!$B$7:$K$7,MATCH($C119,Config!$B$6:$K$6,0)))</f>
        <v/>
      </c>
      <c r="G119" s="13"/>
    </row>
    <row r="120" customFormat="false" ht="15" hidden="false" customHeight="false" outlineLevel="0" collapsed="false">
      <c r="A120" s="13"/>
      <c r="B120" s="13"/>
      <c r="C120" s="13"/>
      <c r="D120" s="14"/>
      <c r="E120" s="19" t="str">
        <f aca="false">IF($B120="","",IFERROR(INDEX(Inventario!$B$12:$B$211,MATCH($B120,Inventario!$A$12:$A$211,0)),"⚠ código no existe"))</f>
        <v/>
      </c>
      <c r="F120" s="15" t="str">
        <f aca="false">IF(OR($B120="",$C120="",$D120=""),"",N($D120)*INDEX(Config!$B$7:$K$7,MATCH($C120,Config!$B$6:$K$6,0)))</f>
        <v/>
      </c>
      <c r="G120" s="13"/>
    </row>
    <row r="121" customFormat="false" ht="15" hidden="false" customHeight="false" outlineLevel="0" collapsed="false">
      <c r="A121" s="13"/>
      <c r="B121" s="13"/>
      <c r="C121" s="13"/>
      <c r="D121" s="14"/>
      <c r="E121" s="19" t="str">
        <f aca="false">IF($B121="","",IFERROR(INDEX(Inventario!$B$12:$B$211,MATCH($B121,Inventario!$A$12:$A$211,0)),"⚠ código no existe"))</f>
        <v/>
      </c>
      <c r="F121" s="15" t="str">
        <f aca="false">IF(OR($B121="",$C121="",$D121=""),"",N($D121)*INDEX(Config!$B$7:$K$7,MATCH($C121,Config!$B$6:$K$6,0)))</f>
        <v/>
      </c>
      <c r="G121" s="13"/>
    </row>
    <row r="122" customFormat="false" ht="15" hidden="false" customHeight="false" outlineLevel="0" collapsed="false">
      <c r="A122" s="13"/>
      <c r="B122" s="13"/>
      <c r="C122" s="13"/>
      <c r="D122" s="14"/>
      <c r="E122" s="19" t="str">
        <f aca="false">IF($B122="","",IFERROR(INDEX(Inventario!$B$12:$B$211,MATCH($B122,Inventario!$A$12:$A$211,0)),"⚠ código no existe"))</f>
        <v/>
      </c>
      <c r="F122" s="15" t="str">
        <f aca="false">IF(OR($B122="",$C122="",$D122=""),"",N($D122)*INDEX(Config!$B$7:$K$7,MATCH($C122,Config!$B$6:$K$6,0)))</f>
        <v/>
      </c>
      <c r="G122" s="13"/>
    </row>
    <row r="123" customFormat="false" ht="15" hidden="false" customHeight="false" outlineLevel="0" collapsed="false">
      <c r="A123" s="13"/>
      <c r="B123" s="13"/>
      <c r="C123" s="13"/>
      <c r="D123" s="14"/>
      <c r="E123" s="19" t="str">
        <f aca="false">IF($B123="","",IFERROR(INDEX(Inventario!$B$12:$B$211,MATCH($B123,Inventario!$A$12:$A$211,0)),"⚠ código no existe"))</f>
        <v/>
      </c>
      <c r="F123" s="15" t="str">
        <f aca="false">IF(OR($B123="",$C123="",$D123=""),"",N($D123)*INDEX(Config!$B$7:$K$7,MATCH($C123,Config!$B$6:$K$6,0)))</f>
        <v/>
      </c>
      <c r="G123" s="13"/>
    </row>
    <row r="124" customFormat="false" ht="15" hidden="false" customHeight="false" outlineLevel="0" collapsed="false">
      <c r="A124" s="13"/>
      <c r="B124" s="13"/>
      <c r="C124" s="13"/>
      <c r="D124" s="14"/>
      <c r="E124" s="19" t="str">
        <f aca="false">IF($B124="","",IFERROR(INDEX(Inventario!$B$12:$B$211,MATCH($B124,Inventario!$A$12:$A$211,0)),"⚠ código no existe"))</f>
        <v/>
      </c>
      <c r="F124" s="15" t="str">
        <f aca="false">IF(OR($B124="",$C124="",$D124=""),"",N($D124)*INDEX(Config!$B$7:$K$7,MATCH($C124,Config!$B$6:$K$6,0)))</f>
        <v/>
      </c>
      <c r="G124" s="13"/>
    </row>
    <row r="125" customFormat="false" ht="15" hidden="false" customHeight="false" outlineLevel="0" collapsed="false">
      <c r="A125" s="13"/>
      <c r="B125" s="13"/>
      <c r="C125" s="13"/>
      <c r="D125" s="14"/>
      <c r="E125" s="19" t="str">
        <f aca="false">IF($B125="","",IFERROR(INDEX(Inventario!$B$12:$B$211,MATCH($B125,Inventario!$A$12:$A$211,0)),"⚠ código no existe"))</f>
        <v/>
      </c>
      <c r="F125" s="15" t="str">
        <f aca="false">IF(OR($B125="",$C125="",$D125=""),"",N($D125)*INDEX(Config!$B$7:$K$7,MATCH($C125,Config!$B$6:$K$6,0)))</f>
        <v/>
      </c>
      <c r="G125" s="13"/>
    </row>
    <row r="126" customFormat="false" ht="15" hidden="false" customHeight="false" outlineLevel="0" collapsed="false">
      <c r="A126" s="13"/>
      <c r="B126" s="13"/>
      <c r="C126" s="13"/>
      <c r="D126" s="14"/>
      <c r="E126" s="19" t="str">
        <f aca="false">IF($B126="","",IFERROR(INDEX(Inventario!$B$12:$B$211,MATCH($B126,Inventario!$A$12:$A$211,0)),"⚠ código no existe"))</f>
        <v/>
      </c>
      <c r="F126" s="15" t="str">
        <f aca="false">IF(OR($B126="",$C126="",$D126=""),"",N($D126)*INDEX(Config!$B$7:$K$7,MATCH($C126,Config!$B$6:$K$6,0)))</f>
        <v/>
      </c>
      <c r="G126" s="13"/>
    </row>
    <row r="127" customFormat="false" ht="15" hidden="false" customHeight="false" outlineLevel="0" collapsed="false">
      <c r="A127" s="13"/>
      <c r="B127" s="13"/>
      <c r="C127" s="13"/>
      <c r="D127" s="14"/>
      <c r="E127" s="19" t="str">
        <f aca="false">IF($B127="","",IFERROR(INDEX(Inventario!$B$12:$B$211,MATCH($B127,Inventario!$A$12:$A$211,0)),"⚠ código no existe"))</f>
        <v/>
      </c>
      <c r="F127" s="15" t="str">
        <f aca="false">IF(OR($B127="",$C127="",$D127=""),"",N($D127)*INDEX(Config!$B$7:$K$7,MATCH($C127,Config!$B$6:$K$6,0)))</f>
        <v/>
      </c>
      <c r="G127" s="13"/>
    </row>
    <row r="128" customFormat="false" ht="15" hidden="false" customHeight="false" outlineLevel="0" collapsed="false">
      <c r="A128" s="13"/>
      <c r="B128" s="13"/>
      <c r="C128" s="13"/>
      <c r="D128" s="14"/>
      <c r="E128" s="19" t="str">
        <f aca="false">IF($B128="","",IFERROR(INDEX(Inventario!$B$12:$B$211,MATCH($B128,Inventario!$A$12:$A$211,0)),"⚠ código no existe"))</f>
        <v/>
      </c>
      <c r="F128" s="15" t="str">
        <f aca="false">IF(OR($B128="",$C128="",$D128=""),"",N($D128)*INDEX(Config!$B$7:$K$7,MATCH($C128,Config!$B$6:$K$6,0)))</f>
        <v/>
      </c>
      <c r="G128" s="13"/>
    </row>
    <row r="129" customFormat="false" ht="15" hidden="false" customHeight="false" outlineLevel="0" collapsed="false">
      <c r="A129" s="13"/>
      <c r="B129" s="13"/>
      <c r="C129" s="13"/>
      <c r="D129" s="14"/>
      <c r="E129" s="19" t="str">
        <f aca="false">IF($B129="","",IFERROR(INDEX(Inventario!$B$12:$B$211,MATCH($B129,Inventario!$A$12:$A$211,0)),"⚠ código no existe"))</f>
        <v/>
      </c>
      <c r="F129" s="15" t="str">
        <f aca="false">IF(OR($B129="",$C129="",$D129=""),"",N($D129)*INDEX(Config!$B$7:$K$7,MATCH($C129,Config!$B$6:$K$6,0)))</f>
        <v/>
      </c>
      <c r="G129" s="13"/>
    </row>
    <row r="130" customFormat="false" ht="15" hidden="false" customHeight="false" outlineLevel="0" collapsed="false">
      <c r="A130" s="13"/>
      <c r="B130" s="13"/>
      <c r="C130" s="13"/>
      <c r="D130" s="14"/>
      <c r="E130" s="19" t="str">
        <f aca="false">IF($B130="","",IFERROR(INDEX(Inventario!$B$12:$B$211,MATCH($B130,Inventario!$A$12:$A$211,0)),"⚠ código no existe"))</f>
        <v/>
      </c>
      <c r="F130" s="15" t="str">
        <f aca="false">IF(OR($B130="",$C130="",$D130=""),"",N($D130)*INDEX(Config!$B$7:$K$7,MATCH($C130,Config!$B$6:$K$6,0)))</f>
        <v/>
      </c>
      <c r="G130" s="13"/>
    </row>
    <row r="131" customFormat="false" ht="15" hidden="false" customHeight="false" outlineLevel="0" collapsed="false">
      <c r="A131" s="13"/>
      <c r="B131" s="13"/>
      <c r="C131" s="13"/>
      <c r="D131" s="14"/>
      <c r="E131" s="19" t="str">
        <f aca="false">IF($B131="","",IFERROR(INDEX(Inventario!$B$12:$B$211,MATCH($B131,Inventario!$A$12:$A$211,0)),"⚠ código no existe"))</f>
        <v/>
      </c>
      <c r="F131" s="15" t="str">
        <f aca="false">IF(OR($B131="",$C131="",$D131=""),"",N($D131)*INDEX(Config!$B$7:$K$7,MATCH($C131,Config!$B$6:$K$6,0)))</f>
        <v/>
      </c>
      <c r="G131" s="13"/>
    </row>
    <row r="132" customFormat="false" ht="15" hidden="false" customHeight="false" outlineLevel="0" collapsed="false">
      <c r="A132" s="13"/>
      <c r="B132" s="13"/>
      <c r="C132" s="13"/>
      <c r="D132" s="14"/>
      <c r="E132" s="19" t="str">
        <f aca="false">IF($B132="","",IFERROR(INDEX(Inventario!$B$12:$B$211,MATCH($B132,Inventario!$A$12:$A$211,0)),"⚠ código no existe"))</f>
        <v/>
      </c>
      <c r="F132" s="15" t="str">
        <f aca="false">IF(OR($B132="",$C132="",$D132=""),"",N($D132)*INDEX(Config!$B$7:$K$7,MATCH($C132,Config!$B$6:$K$6,0)))</f>
        <v/>
      </c>
      <c r="G132" s="13"/>
    </row>
    <row r="133" customFormat="false" ht="15" hidden="false" customHeight="false" outlineLevel="0" collapsed="false">
      <c r="A133" s="13"/>
      <c r="B133" s="13"/>
      <c r="C133" s="13"/>
      <c r="D133" s="14"/>
      <c r="E133" s="19" t="str">
        <f aca="false">IF($B133="","",IFERROR(INDEX(Inventario!$B$12:$B$211,MATCH($B133,Inventario!$A$12:$A$211,0)),"⚠ código no existe"))</f>
        <v/>
      </c>
      <c r="F133" s="15" t="str">
        <f aca="false">IF(OR($B133="",$C133="",$D133=""),"",N($D133)*INDEX(Config!$B$7:$K$7,MATCH($C133,Config!$B$6:$K$6,0)))</f>
        <v/>
      </c>
      <c r="G133" s="13"/>
    </row>
    <row r="134" customFormat="false" ht="15" hidden="false" customHeight="false" outlineLevel="0" collapsed="false">
      <c r="A134" s="13"/>
      <c r="B134" s="13"/>
      <c r="C134" s="13"/>
      <c r="D134" s="14"/>
      <c r="E134" s="19" t="str">
        <f aca="false">IF($B134="","",IFERROR(INDEX(Inventario!$B$12:$B$211,MATCH($B134,Inventario!$A$12:$A$211,0)),"⚠ código no existe"))</f>
        <v/>
      </c>
      <c r="F134" s="15" t="str">
        <f aca="false">IF(OR($B134="",$C134="",$D134=""),"",N($D134)*INDEX(Config!$B$7:$K$7,MATCH($C134,Config!$B$6:$K$6,0)))</f>
        <v/>
      </c>
      <c r="G134" s="13"/>
    </row>
    <row r="135" customFormat="false" ht="15" hidden="false" customHeight="false" outlineLevel="0" collapsed="false">
      <c r="A135" s="13"/>
      <c r="B135" s="13"/>
      <c r="C135" s="13"/>
      <c r="D135" s="14"/>
      <c r="E135" s="19" t="str">
        <f aca="false">IF($B135="","",IFERROR(INDEX(Inventario!$B$12:$B$211,MATCH($B135,Inventario!$A$12:$A$211,0)),"⚠ código no existe"))</f>
        <v/>
      </c>
      <c r="F135" s="15" t="str">
        <f aca="false">IF(OR($B135="",$C135="",$D135=""),"",N($D135)*INDEX(Config!$B$7:$K$7,MATCH($C135,Config!$B$6:$K$6,0)))</f>
        <v/>
      </c>
      <c r="G135" s="13"/>
    </row>
    <row r="136" customFormat="false" ht="15" hidden="false" customHeight="false" outlineLevel="0" collapsed="false">
      <c r="A136" s="13"/>
      <c r="B136" s="13"/>
      <c r="C136" s="13"/>
      <c r="D136" s="14"/>
      <c r="E136" s="19" t="str">
        <f aca="false">IF($B136="","",IFERROR(INDEX(Inventario!$B$12:$B$211,MATCH($B136,Inventario!$A$12:$A$211,0)),"⚠ código no existe"))</f>
        <v/>
      </c>
      <c r="F136" s="15" t="str">
        <f aca="false">IF(OR($B136="",$C136="",$D136=""),"",N($D136)*INDEX(Config!$B$7:$K$7,MATCH($C136,Config!$B$6:$K$6,0)))</f>
        <v/>
      </c>
      <c r="G136" s="13"/>
    </row>
    <row r="137" customFormat="false" ht="15" hidden="false" customHeight="false" outlineLevel="0" collapsed="false">
      <c r="A137" s="13"/>
      <c r="B137" s="13"/>
      <c r="C137" s="13"/>
      <c r="D137" s="14"/>
      <c r="E137" s="19" t="str">
        <f aca="false">IF($B137="","",IFERROR(INDEX(Inventario!$B$12:$B$211,MATCH($B137,Inventario!$A$12:$A$211,0)),"⚠ código no existe"))</f>
        <v/>
      </c>
      <c r="F137" s="15" t="str">
        <f aca="false">IF(OR($B137="",$C137="",$D137=""),"",N($D137)*INDEX(Config!$B$7:$K$7,MATCH($C137,Config!$B$6:$K$6,0)))</f>
        <v/>
      </c>
      <c r="G137" s="13"/>
    </row>
    <row r="138" customFormat="false" ht="15" hidden="false" customHeight="false" outlineLevel="0" collapsed="false">
      <c r="A138" s="13"/>
      <c r="B138" s="13"/>
      <c r="C138" s="13"/>
      <c r="D138" s="14"/>
      <c r="E138" s="19" t="str">
        <f aca="false">IF($B138="","",IFERROR(INDEX(Inventario!$B$12:$B$211,MATCH($B138,Inventario!$A$12:$A$211,0)),"⚠ código no existe"))</f>
        <v/>
      </c>
      <c r="F138" s="15" t="str">
        <f aca="false">IF(OR($B138="",$C138="",$D138=""),"",N($D138)*INDEX(Config!$B$7:$K$7,MATCH($C138,Config!$B$6:$K$6,0)))</f>
        <v/>
      </c>
      <c r="G138" s="13"/>
    </row>
    <row r="139" customFormat="false" ht="15" hidden="false" customHeight="false" outlineLevel="0" collapsed="false">
      <c r="A139" s="13"/>
      <c r="B139" s="13"/>
      <c r="C139" s="13"/>
      <c r="D139" s="14"/>
      <c r="E139" s="19" t="str">
        <f aca="false">IF($B139="","",IFERROR(INDEX(Inventario!$B$12:$B$211,MATCH($B139,Inventario!$A$12:$A$211,0)),"⚠ código no existe"))</f>
        <v/>
      </c>
      <c r="F139" s="15" t="str">
        <f aca="false">IF(OR($B139="",$C139="",$D139=""),"",N($D139)*INDEX(Config!$B$7:$K$7,MATCH($C139,Config!$B$6:$K$6,0)))</f>
        <v/>
      </c>
      <c r="G139" s="13"/>
    </row>
    <row r="140" customFormat="false" ht="15" hidden="false" customHeight="false" outlineLevel="0" collapsed="false">
      <c r="A140" s="13"/>
      <c r="B140" s="13"/>
      <c r="C140" s="13"/>
      <c r="D140" s="14"/>
      <c r="E140" s="19" t="str">
        <f aca="false">IF($B140="","",IFERROR(INDEX(Inventario!$B$12:$B$211,MATCH($B140,Inventario!$A$12:$A$211,0)),"⚠ código no existe"))</f>
        <v/>
      </c>
      <c r="F140" s="15" t="str">
        <f aca="false">IF(OR($B140="",$C140="",$D140=""),"",N($D140)*INDEX(Config!$B$7:$K$7,MATCH($C140,Config!$B$6:$K$6,0)))</f>
        <v/>
      </c>
      <c r="G140" s="13"/>
    </row>
    <row r="141" customFormat="false" ht="15" hidden="false" customHeight="false" outlineLevel="0" collapsed="false">
      <c r="A141" s="13"/>
      <c r="B141" s="13"/>
      <c r="C141" s="13"/>
      <c r="D141" s="14"/>
      <c r="E141" s="19" t="str">
        <f aca="false">IF($B141="","",IFERROR(INDEX(Inventario!$B$12:$B$211,MATCH($B141,Inventario!$A$12:$A$211,0)),"⚠ código no existe"))</f>
        <v/>
      </c>
      <c r="F141" s="15" t="str">
        <f aca="false">IF(OR($B141="",$C141="",$D141=""),"",N($D141)*INDEX(Config!$B$7:$K$7,MATCH($C141,Config!$B$6:$K$6,0)))</f>
        <v/>
      </c>
      <c r="G141" s="13"/>
    </row>
    <row r="142" customFormat="false" ht="15" hidden="false" customHeight="false" outlineLevel="0" collapsed="false">
      <c r="A142" s="13"/>
      <c r="B142" s="13"/>
      <c r="C142" s="13"/>
      <c r="D142" s="14"/>
      <c r="E142" s="19" t="str">
        <f aca="false">IF($B142="","",IFERROR(INDEX(Inventario!$B$12:$B$211,MATCH($B142,Inventario!$A$12:$A$211,0)),"⚠ código no existe"))</f>
        <v/>
      </c>
      <c r="F142" s="15" t="str">
        <f aca="false">IF(OR($B142="",$C142="",$D142=""),"",N($D142)*INDEX(Config!$B$7:$K$7,MATCH($C142,Config!$B$6:$K$6,0)))</f>
        <v/>
      </c>
      <c r="G142" s="13"/>
    </row>
    <row r="143" customFormat="false" ht="15" hidden="false" customHeight="false" outlineLevel="0" collapsed="false">
      <c r="A143" s="13"/>
      <c r="B143" s="13"/>
      <c r="C143" s="13"/>
      <c r="D143" s="14"/>
      <c r="E143" s="19" t="str">
        <f aca="false">IF($B143="","",IFERROR(INDEX(Inventario!$B$12:$B$211,MATCH($B143,Inventario!$A$12:$A$211,0)),"⚠ código no existe"))</f>
        <v/>
      </c>
      <c r="F143" s="15" t="str">
        <f aca="false">IF(OR($B143="",$C143="",$D143=""),"",N($D143)*INDEX(Config!$B$7:$K$7,MATCH($C143,Config!$B$6:$K$6,0)))</f>
        <v/>
      </c>
      <c r="G143" s="13"/>
    </row>
    <row r="144" customFormat="false" ht="15" hidden="false" customHeight="false" outlineLevel="0" collapsed="false">
      <c r="A144" s="13"/>
      <c r="B144" s="13"/>
      <c r="C144" s="13"/>
      <c r="D144" s="14"/>
      <c r="E144" s="19" t="str">
        <f aca="false">IF($B144="","",IFERROR(INDEX(Inventario!$B$12:$B$211,MATCH($B144,Inventario!$A$12:$A$211,0)),"⚠ código no existe"))</f>
        <v/>
      </c>
      <c r="F144" s="15" t="str">
        <f aca="false">IF(OR($B144="",$C144="",$D144=""),"",N($D144)*INDEX(Config!$B$7:$K$7,MATCH($C144,Config!$B$6:$K$6,0)))</f>
        <v/>
      </c>
      <c r="G144" s="13"/>
    </row>
    <row r="145" customFormat="false" ht="15" hidden="false" customHeight="false" outlineLevel="0" collapsed="false">
      <c r="A145" s="13"/>
      <c r="B145" s="13"/>
      <c r="C145" s="13"/>
      <c r="D145" s="14"/>
      <c r="E145" s="19" t="str">
        <f aca="false">IF($B145="","",IFERROR(INDEX(Inventario!$B$12:$B$211,MATCH($B145,Inventario!$A$12:$A$211,0)),"⚠ código no existe"))</f>
        <v/>
      </c>
      <c r="F145" s="15" t="str">
        <f aca="false">IF(OR($B145="",$C145="",$D145=""),"",N($D145)*INDEX(Config!$B$7:$K$7,MATCH($C145,Config!$B$6:$K$6,0)))</f>
        <v/>
      </c>
      <c r="G145" s="13"/>
    </row>
    <row r="146" customFormat="false" ht="15" hidden="false" customHeight="false" outlineLevel="0" collapsed="false">
      <c r="A146" s="13"/>
      <c r="B146" s="13"/>
      <c r="C146" s="13"/>
      <c r="D146" s="14"/>
      <c r="E146" s="19" t="str">
        <f aca="false">IF($B146="","",IFERROR(INDEX(Inventario!$B$12:$B$211,MATCH($B146,Inventario!$A$12:$A$211,0)),"⚠ código no existe"))</f>
        <v/>
      </c>
      <c r="F146" s="15" t="str">
        <f aca="false">IF(OR($B146="",$C146="",$D146=""),"",N($D146)*INDEX(Config!$B$7:$K$7,MATCH($C146,Config!$B$6:$K$6,0)))</f>
        <v/>
      </c>
      <c r="G146" s="13"/>
    </row>
    <row r="147" customFormat="false" ht="15" hidden="false" customHeight="false" outlineLevel="0" collapsed="false">
      <c r="A147" s="13"/>
      <c r="B147" s="13"/>
      <c r="C147" s="13"/>
      <c r="D147" s="14"/>
      <c r="E147" s="19" t="str">
        <f aca="false">IF($B147="","",IFERROR(INDEX(Inventario!$B$12:$B$211,MATCH($B147,Inventario!$A$12:$A$211,0)),"⚠ código no existe"))</f>
        <v/>
      </c>
      <c r="F147" s="15" t="str">
        <f aca="false">IF(OR($B147="",$C147="",$D147=""),"",N($D147)*INDEX(Config!$B$7:$K$7,MATCH($C147,Config!$B$6:$K$6,0)))</f>
        <v/>
      </c>
      <c r="G147" s="13"/>
    </row>
    <row r="148" customFormat="false" ht="15" hidden="false" customHeight="false" outlineLevel="0" collapsed="false">
      <c r="A148" s="13"/>
      <c r="B148" s="13"/>
      <c r="C148" s="13"/>
      <c r="D148" s="14"/>
      <c r="E148" s="19" t="str">
        <f aca="false">IF($B148="","",IFERROR(INDEX(Inventario!$B$12:$B$211,MATCH($B148,Inventario!$A$12:$A$211,0)),"⚠ código no existe"))</f>
        <v/>
      </c>
      <c r="F148" s="15" t="str">
        <f aca="false">IF(OR($B148="",$C148="",$D148=""),"",N($D148)*INDEX(Config!$B$7:$K$7,MATCH($C148,Config!$B$6:$K$6,0)))</f>
        <v/>
      </c>
      <c r="G148" s="13"/>
    </row>
    <row r="149" customFormat="false" ht="15" hidden="false" customHeight="false" outlineLevel="0" collapsed="false">
      <c r="A149" s="13"/>
      <c r="B149" s="13"/>
      <c r="C149" s="13"/>
      <c r="D149" s="14"/>
      <c r="E149" s="19" t="str">
        <f aca="false">IF($B149="","",IFERROR(INDEX(Inventario!$B$12:$B$211,MATCH($B149,Inventario!$A$12:$A$211,0)),"⚠ código no existe"))</f>
        <v/>
      </c>
      <c r="F149" s="15" t="str">
        <f aca="false">IF(OR($B149="",$C149="",$D149=""),"",N($D149)*INDEX(Config!$B$7:$K$7,MATCH($C149,Config!$B$6:$K$6,0)))</f>
        <v/>
      </c>
      <c r="G149" s="13"/>
    </row>
    <row r="150" customFormat="false" ht="15" hidden="false" customHeight="false" outlineLevel="0" collapsed="false">
      <c r="A150" s="13"/>
      <c r="B150" s="13"/>
      <c r="C150" s="13"/>
      <c r="D150" s="14"/>
      <c r="E150" s="19" t="str">
        <f aca="false">IF($B150="","",IFERROR(INDEX(Inventario!$B$12:$B$211,MATCH($B150,Inventario!$A$12:$A$211,0)),"⚠ código no existe"))</f>
        <v/>
      </c>
      <c r="F150" s="15" t="str">
        <f aca="false">IF(OR($B150="",$C150="",$D150=""),"",N($D150)*INDEX(Config!$B$7:$K$7,MATCH($C150,Config!$B$6:$K$6,0)))</f>
        <v/>
      </c>
      <c r="G150" s="13"/>
    </row>
    <row r="151" customFormat="false" ht="15" hidden="false" customHeight="false" outlineLevel="0" collapsed="false">
      <c r="A151" s="13"/>
      <c r="B151" s="13"/>
      <c r="C151" s="13"/>
      <c r="D151" s="14"/>
      <c r="E151" s="19" t="str">
        <f aca="false">IF($B151="","",IFERROR(INDEX(Inventario!$B$12:$B$211,MATCH($B151,Inventario!$A$12:$A$211,0)),"⚠ código no existe"))</f>
        <v/>
      </c>
      <c r="F151" s="15" t="str">
        <f aca="false">IF(OR($B151="",$C151="",$D151=""),"",N($D151)*INDEX(Config!$B$7:$K$7,MATCH($C151,Config!$B$6:$K$6,0)))</f>
        <v/>
      </c>
      <c r="G151" s="13"/>
    </row>
    <row r="152" customFormat="false" ht="15" hidden="false" customHeight="false" outlineLevel="0" collapsed="false">
      <c r="A152" s="13"/>
      <c r="B152" s="13"/>
      <c r="C152" s="13"/>
      <c r="D152" s="14"/>
      <c r="E152" s="19" t="str">
        <f aca="false">IF($B152="","",IFERROR(INDEX(Inventario!$B$12:$B$211,MATCH($B152,Inventario!$A$12:$A$211,0)),"⚠ código no existe"))</f>
        <v/>
      </c>
      <c r="F152" s="15" t="str">
        <f aca="false">IF(OR($B152="",$C152="",$D152=""),"",N($D152)*INDEX(Config!$B$7:$K$7,MATCH($C152,Config!$B$6:$K$6,0)))</f>
        <v/>
      </c>
      <c r="G152" s="13"/>
    </row>
    <row r="153" customFormat="false" ht="15" hidden="false" customHeight="false" outlineLevel="0" collapsed="false">
      <c r="A153" s="13"/>
      <c r="B153" s="13"/>
      <c r="C153" s="13"/>
      <c r="D153" s="14"/>
      <c r="E153" s="19" t="str">
        <f aca="false">IF($B153="","",IFERROR(INDEX(Inventario!$B$12:$B$211,MATCH($B153,Inventario!$A$12:$A$211,0)),"⚠ código no existe"))</f>
        <v/>
      </c>
      <c r="F153" s="15" t="str">
        <f aca="false">IF(OR($B153="",$C153="",$D153=""),"",N($D153)*INDEX(Config!$B$7:$K$7,MATCH($C153,Config!$B$6:$K$6,0)))</f>
        <v/>
      </c>
      <c r="G153" s="13"/>
    </row>
    <row r="154" customFormat="false" ht="15" hidden="false" customHeight="false" outlineLevel="0" collapsed="false">
      <c r="A154" s="13"/>
      <c r="B154" s="13"/>
      <c r="C154" s="13"/>
      <c r="D154" s="14"/>
      <c r="E154" s="19" t="str">
        <f aca="false">IF($B154="","",IFERROR(INDEX(Inventario!$B$12:$B$211,MATCH($B154,Inventario!$A$12:$A$211,0)),"⚠ código no existe"))</f>
        <v/>
      </c>
      <c r="F154" s="15" t="str">
        <f aca="false">IF(OR($B154="",$C154="",$D154=""),"",N($D154)*INDEX(Config!$B$7:$K$7,MATCH($C154,Config!$B$6:$K$6,0)))</f>
        <v/>
      </c>
      <c r="G154" s="13"/>
    </row>
    <row r="155" customFormat="false" ht="15" hidden="false" customHeight="false" outlineLevel="0" collapsed="false">
      <c r="A155" s="13"/>
      <c r="B155" s="13"/>
      <c r="C155" s="13"/>
      <c r="D155" s="14"/>
      <c r="E155" s="19" t="str">
        <f aca="false">IF($B155="","",IFERROR(INDEX(Inventario!$B$12:$B$211,MATCH($B155,Inventario!$A$12:$A$211,0)),"⚠ código no existe"))</f>
        <v/>
      </c>
      <c r="F155" s="15" t="str">
        <f aca="false">IF(OR($B155="",$C155="",$D155=""),"",N($D155)*INDEX(Config!$B$7:$K$7,MATCH($C155,Config!$B$6:$K$6,0)))</f>
        <v/>
      </c>
      <c r="G155" s="13"/>
    </row>
    <row r="156" customFormat="false" ht="15" hidden="false" customHeight="false" outlineLevel="0" collapsed="false">
      <c r="A156" s="13"/>
      <c r="B156" s="13"/>
      <c r="C156" s="13"/>
      <c r="D156" s="14"/>
      <c r="E156" s="19" t="str">
        <f aca="false">IF($B156="","",IFERROR(INDEX(Inventario!$B$12:$B$211,MATCH($B156,Inventario!$A$12:$A$211,0)),"⚠ código no existe"))</f>
        <v/>
      </c>
      <c r="F156" s="15" t="str">
        <f aca="false">IF(OR($B156="",$C156="",$D156=""),"",N($D156)*INDEX(Config!$B$7:$K$7,MATCH($C156,Config!$B$6:$K$6,0)))</f>
        <v/>
      </c>
      <c r="G156" s="13"/>
    </row>
    <row r="157" customFormat="false" ht="15" hidden="false" customHeight="false" outlineLevel="0" collapsed="false">
      <c r="A157" s="13"/>
      <c r="B157" s="13"/>
      <c r="C157" s="13"/>
      <c r="D157" s="14"/>
      <c r="E157" s="19" t="str">
        <f aca="false">IF($B157="","",IFERROR(INDEX(Inventario!$B$12:$B$211,MATCH($B157,Inventario!$A$12:$A$211,0)),"⚠ código no existe"))</f>
        <v/>
      </c>
      <c r="F157" s="15" t="str">
        <f aca="false">IF(OR($B157="",$C157="",$D157=""),"",N($D157)*INDEX(Config!$B$7:$K$7,MATCH($C157,Config!$B$6:$K$6,0)))</f>
        <v/>
      </c>
      <c r="G157" s="13"/>
    </row>
    <row r="158" customFormat="false" ht="15" hidden="false" customHeight="false" outlineLevel="0" collapsed="false">
      <c r="A158" s="13"/>
      <c r="B158" s="13"/>
      <c r="C158" s="13"/>
      <c r="D158" s="14"/>
      <c r="E158" s="19" t="str">
        <f aca="false">IF($B158="","",IFERROR(INDEX(Inventario!$B$12:$B$211,MATCH($B158,Inventario!$A$12:$A$211,0)),"⚠ código no existe"))</f>
        <v/>
      </c>
      <c r="F158" s="15" t="str">
        <f aca="false">IF(OR($B158="",$C158="",$D158=""),"",N($D158)*INDEX(Config!$B$7:$K$7,MATCH($C158,Config!$B$6:$K$6,0)))</f>
        <v/>
      </c>
      <c r="G158" s="13"/>
    </row>
    <row r="159" customFormat="false" ht="15" hidden="false" customHeight="false" outlineLevel="0" collapsed="false">
      <c r="A159" s="13"/>
      <c r="B159" s="13"/>
      <c r="C159" s="13"/>
      <c r="D159" s="14"/>
      <c r="E159" s="19" t="str">
        <f aca="false">IF($B159="","",IFERROR(INDEX(Inventario!$B$12:$B$211,MATCH($B159,Inventario!$A$12:$A$211,0)),"⚠ código no existe"))</f>
        <v/>
      </c>
      <c r="F159" s="15" t="str">
        <f aca="false">IF(OR($B159="",$C159="",$D159=""),"",N($D159)*INDEX(Config!$B$7:$K$7,MATCH($C159,Config!$B$6:$K$6,0)))</f>
        <v/>
      </c>
      <c r="G159" s="13"/>
    </row>
    <row r="160" customFormat="false" ht="15" hidden="false" customHeight="false" outlineLevel="0" collapsed="false">
      <c r="A160" s="13"/>
      <c r="B160" s="13"/>
      <c r="C160" s="13"/>
      <c r="D160" s="14"/>
      <c r="E160" s="19" t="str">
        <f aca="false">IF($B160="","",IFERROR(INDEX(Inventario!$B$12:$B$211,MATCH($B160,Inventario!$A$12:$A$211,0)),"⚠ código no existe"))</f>
        <v/>
      </c>
      <c r="F160" s="15" t="str">
        <f aca="false">IF(OR($B160="",$C160="",$D160=""),"",N($D160)*INDEX(Config!$B$7:$K$7,MATCH($C160,Config!$B$6:$K$6,0)))</f>
        <v/>
      </c>
      <c r="G160" s="13"/>
    </row>
    <row r="161" customFormat="false" ht="15" hidden="false" customHeight="false" outlineLevel="0" collapsed="false">
      <c r="A161" s="13"/>
      <c r="B161" s="13"/>
      <c r="C161" s="13"/>
      <c r="D161" s="14"/>
      <c r="E161" s="19" t="str">
        <f aca="false">IF($B161="","",IFERROR(INDEX(Inventario!$B$12:$B$211,MATCH($B161,Inventario!$A$12:$A$211,0)),"⚠ código no existe"))</f>
        <v/>
      </c>
      <c r="F161" s="15" t="str">
        <f aca="false">IF(OR($B161="",$C161="",$D161=""),"",N($D161)*INDEX(Config!$B$7:$K$7,MATCH($C161,Config!$B$6:$K$6,0)))</f>
        <v/>
      </c>
      <c r="G161" s="13"/>
    </row>
    <row r="162" customFormat="false" ht="15" hidden="false" customHeight="false" outlineLevel="0" collapsed="false">
      <c r="A162" s="13"/>
      <c r="B162" s="13"/>
      <c r="C162" s="13"/>
      <c r="D162" s="14"/>
      <c r="E162" s="19" t="str">
        <f aca="false">IF($B162="","",IFERROR(INDEX(Inventario!$B$12:$B$211,MATCH($B162,Inventario!$A$12:$A$211,0)),"⚠ código no existe"))</f>
        <v/>
      </c>
      <c r="F162" s="15" t="str">
        <f aca="false">IF(OR($B162="",$C162="",$D162=""),"",N($D162)*INDEX(Config!$B$7:$K$7,MATCH($C162,Config!$B$6:$K$6,0)))</f>
        <v/>
      </c>
      <c r="G162" s="13"/>
    </row>
    <row r="163" customFormat="false" ht="15" hidden="false" customHeight="false" outlineLevel="0" collapsed="false">
      <c r="A163" s="13"/>
      <c r="B163" s="13"/>
      <c r="C163" s="13"/>
      <c r="D163" s="14"/>
      <c r="E163" s="19" t="str">
        <f aca="false">IF($B163="","",IFERROR(INDEX(Inventario!$B$12:$B$211,MATCH($B163,Inventario!$A$12:$A$211,0)),"⚠ código no existe"))</f>
        <v/>
      </c>
      <c r="F163" s="15" t="str">
        <f aca="false">IF(OR($B163="",$C163="",$D163=""),"",N($D163)*INDEX(Config!$B$7:$K$7,MATCH($C163,Config!$B$6:$K$6,0)))</f>
        <v/>
      </c>
      <c r="G163" s="13"/>
    </row>
    <row r="164" customFormat="false" ht="15" hidden="false" customHeight="false" outlineLevel="0" collapsed="false">
      <c r="A164" s="13"/>
      <c r="B164" s="13"/>
      <c r="C164" s="13"/>
      <c r="D164" s="14"/>
      <c r="E164" s="19" t="str">
        <f aca="false">IF($B164="","",IFERROR(INDEX(Inventario!$B$12:$B$211,MATCH($B164,Inventario!$A$12:$A$211,0)),"⚠ código no existe"))</f>
        <v/>
      </c>
      <c r="F164" s="15" t="str">
        <f aca="false">IF(OR($B164="",$C164="",$D164=""),"",N($D164)*INDEX(Config!$B$7:$K$7,MATCH($C164,Config!$B$6:$K$6,0)))</f>
        <v/>
      </c>
      <c r="G164" s="13"/>
    </row>
    <row r="165" customFormat="false" ht="15" hidden="false" customHeight="false" outlineLevel="0" collapsed="false">
      <c r="A165" s="13"/>
      <c r="B165" s="13"/>
      <c r="C165" s="13"/>
      <c r="D165" s="14"/>
      <c r="E165" s="19" t="str">
        <f aca="false">IF($B165="","",IFERROR(INDEX(Inventario!$B$12:$B$211,MATCH($B165,Inventario!$A$12:$A$211,0)),"⚠ código no existe"))</f>
        <v/>
      </c>
      <c r="F165" s="15" t="str">
        <f aca="false">IF(OR($B165="",$C165="",$D165=""),"",N($D165)*INDEX(Config!$B$7:$K$7,MATCH($C165,Config!$B$6:$K$6,0)))</f>
        <v/>
      </c>
      <c r="G165" s="13"/>
    </row>
    <row r="166" customFormat="false" ht="15" hidden="false" customHeight="false" outlineLevel="0" collapsed="false">
      <c r="A166" s="13"/>
      <c r="B166" s="13"/>
      <c r="C166" s="13"/>
      <c r="D166" s="14"/>
      <c r="E166" s="19" t="str">
        <f aca="false">IF($B166="","",IFERROR(INDEX(Inventario!$B$12:$B$211,MATCH($B166,Inventario!$A$12:$A$211,0)),"⚠ código no existe"))</f>
        <v/>
      </c>
      <c r="F166" s="15" t="str">
        <f aca="false">IF(OR($B166="",$C166="",$D166=""),"",N($D166)*INDEX(Config!$B$7:$K$7,MATCH($C166,Config!$B$6:$K$6,0)))</f>
        <v/>
      </c>
      <c r="G166" s="13"/>
    </row>
    <row r="167" customFormat="false" ht="15" hidden="false" customHeight="false" outlineLevel="0" collapsed="false">
      <c r="A167" s="13"/>
      <c r="B167" s="13"/>
      <c r="C167" s="13"/>
      <c r="D167" s="14"/>
      <c r="E167" s="19" t="str">
        <f aca="false">IF($B167="","",IFERROR(INDEX(Inventario!$B$12:$B$211,MATCH($B167,Inventario!$A$12:$A$211,0)),"⚠ código no existe"))</f>
        <v/>
      </c>
      <c r="F167" s="15" t="str">
        <f aca="false">IF(OR($B167="",$C167="",$D167=""),"",N($D167)*INDEX(Config!$B$7:$K$7,MATCH($C167,Config!$B$6:$K$6,0)))</f>
        <v/>
      </c>
      <c r="G167" s="13"/>
    </row>
    <row r="168" customFormat="false" ht="15" hidden="false" customHeight="false" outlineLevel="0" collapsed="false">
      <c r="A168" s="13"/>
      <c r="B168" s="13"/>
      <c r="C168" s="13"/>
      <c r="D168" s="14"/>
      <c r="E168" s="19" t="str">
        <f aca="false">IF($B168="","",IFERROR(INDEX(Inventario!$B$12:$B$211,MATCH($B168,Inventario!$A$12:$A$211,0)),"⚠ código no existe"))</f>
        <v/>
      </c>
      <c r="F168" s="15" t="str">
        <f aca="false">IF(OR($B168="",$C168="",$D168=""),"",N($D168)*INDEX(Config!$B$7:$K$7,MATCH($C168,Config!$B$6:$K$6,0)))</f>
        <v/>
      </c>
      <c r="G168" s="13"/>
    </row>
    <row r="169" customFormat="false" ht="15" hidden="false" customHeight="false" outlineLevel="0" collapsed="false">
      <c r="A169" s="13"/>
      <c r="B169" s="13"/>
      <c r="C169" s="13"/>
      <c r="D169" s="14"/>
      <c r="E169" s="19" t="str">
        <f aca="false">IF($B169="","",IFERROR(INDEX(Inventario!$B$12:$B$211,MATCH($B169,Inventario!$A$12:$A$211,0)),"⚠ código no existe"))</f>
        <v/>
      </c>
      <c r="F169" s="15" t="str">
        <f aca="false">IF(OR($B169="",$C169="",$D169=""),"",N($D169)*INDEX(Config!$B$7:$K$7,MATCH($C169,Config!$B$6:$K$6,0)))</f>
        <v/>
      </c>
      <c r="G169" s="13"/>
    </row>
    <row r="170" customFormat="false" ht="15" hidden="false" customHeight="false" outlineLevel="0" collapsed="false">
      <c r="A170" s="13"/>
      <c r="B170" s="13"/>
      <c r="C170" s="13"/>
      <c r="D170" s="14"/>
      <c r="E170" s="19" t="str">
        <f aca="false">IF($B170="","",IFERROR(INDEX(Inventario!$B$12:$B$211,MATCH($B170,Inventario!$A$12:$A$211,0)),"⚠ código no existe"))</f>
        <v/>
      </c>
      <c r="F170" s="15" t="str">
        <f aca="false">IF(OR($B170="",$C170="",$D170=""),"",N($D170)*INDEX(Config!$B$7:$K$7,MATCH($C170,Config!$B$6:$K$6,0)))</f>
        <v/>
      </c>
      <c r="G170" s="13"/>
    </row>
    <row r="171" customFormat="false" ht="15" hidden="false" customHeight="false" outlineLevel="0" collapsed="false">
      <c r="A171" s="13"/>
      <c r="B171" s="13"/>
      <c r="C171" s="13"/>
      <c r="D171" s="14"/>
      <c r="E171" s="19" t="str">
        <f aca="false">IF($B171="","",IFERROR(INDEX(Inventario!$B$12:$B$211,MATCH($B171,Inventario!$A$12:$A$211,0)),"⚠ código no existe"))</f>
        <v/>
      </c>
      <c r="F171" s="15" t="str">
        <f aca="false">IF(OR($B171="",$C171="",$D171=""),"",N($D171)*INDEX(Config!$B$7:$K$7,MATCH($C171,Config!$B$6:$K$6,0)))</f>
        <v/>
      </c>
      <c r="G171" s="13"/>
    </row>
    <row r="172" customFormat="false" ht="15" hidden="false" customHeight="false" outlineLevel="0" collapsed="false">
      <c r="A172" s="13"/>
      <c r="B172" s="13"/>
      <c r="C172" s="13"/>
      <c r="D172" s="14"/>
      <c r="E172" s="19" t="str">
        <f aca="false">IF($B172="","",IFERROR(INDEX(Inventario!$B$12:$B$211,MATCH($B172,Inventario!$A$12:$A$211,0)),"⚠ código no existe"))</f>
        <v/>
      </c>
      <c r="F172" s="15" t="str">
        <f aca="false">IF(OR($B172="",$C172="",$D172=""),"",N($D172)*INDEX(Config!$B$7:$K$7,MATCH($C172,Config!$B$6:$K$6,0)))</f>
        <v/>
      </c>
      <c r="G172" s="13"/>
    </row>
    <row r="173" customFormat="false" ht="15" hidden="false" customHeight="false" outlineLevel="0" collapsed="false">
      <c r="A173" s="13"/>
      <c r="B173" s="13"/>
      <c r="C173" s="13"/>
      <c r="D173" s="14"/>
      <c r="E173" s="19" t="str">
        <f aca="false">IF($B173="","",IFERROR(INDEX(Inventario!$B$12:$B$211,MATCH($B173,Inventario!$A$12:$A$211,0)),"⚠ código no existe"))</f>
        <v/>
      </c>
      <c r="F173" s="15" t="str">
        <f aca="false">IF(OR($B173="",$C173="",$D173=""),"",N($D173)*INDEX(Config!$B$7:$K$7,MATCH($C173,Config!$B$6:$K$6,0)))</f>
        <v/>
      </c>
      <c r="G173" s="13"/>
    </row>
    <row r="174" customFormat="false" ht="15" hidden="false" customHeight="false" outlineLevel="0" collapsed="false">
      <c r="A174" s="13"/>
      <c r="B174" s="13"/>
      <c r="C174" s="13"/>
      <c r="D174" s="14"/>
      <c r="E174" s="19" t="str">
        <f aca="false">IF($B174="","",IFERROR(INDEX(Inventario!$B$12:$B$211,MATCH($B174,Inventario!$A$12:$A$211,0)),"⚠ código no existe"))</f>
        <v/>
      </c>
      <c r="F174" s="15" t="str">
        <f aca="false">IF(OR($B174="",$C174="",$D174=""),"",N($D174)*INDEX(Config!$B$7:$K$7,MATCH($C174,Config!$B$6:$K$6,0)))</f>
        <v/>
      </c>
      <c r="G174" s="13"/>
    </row>
    <row r="175" customFormat="false" ht="15" hidden="false" customHeight="false" outlineLevel="0" collapsed="false">
      <c r="A175" s="13"/>
      <c r="B175" s="13"/>
      <c r="C175" s="13"/>
      <c r="D175" s="14"/>
      <c r="E175" s="19" t="str">
        <f aca="false">IF($B175="","",IFERROR(INDEX(Inventario!$B$12:$B$211,MATCH($B175,Inventario!$A$12:$A$211,0)),"⚠ código no existe"))</f>
        <v/>
      </c>
      <c r="F175" s="15" t="str">
        <f aca="false">IF(OR($B175="",$C175="",$D175=""),"",N($D175)*INDEX(Config!$B$7:$K$7,MATCH($C175,Config!$B$6:$K$6,0)))</f>
        <v/>
      </c>
      <c r="G175" s="13"/>
    </row>
    <row r="176" customFormat="false" ht="15" hidden="false" customHeight="false" outlineLevel="0" collapsed="false">
      <c r="A176" s="13"/>
      <c r="B176" s="13"/>
      <c r="C176" s="13"/>
      <c r="D176" s="14"/>
      <c r="E176" s="19" t="str">
        <f aca="false">IF($B176="","",IFERROR(INDEX(Inventario!$B$12:$B$211,MATCH($B176,Inventario!$A$12:$A$211,0)),"⚠ código no existe"))</f>
        <v/>
      </c>
      <c r="F176" s="15" t="str">
        <f aca="false">IF(OR($B176="",$C176="",$D176=""),"",N($D176)*INDEX(Config!$B$7:$K$7,MATCH($C176,Config!$B$6:$K$6,0)))</f>
        <v/>
      </c>
      <c r="G176" s="13"/>
    </row>
    <row r="177" customFormat="false" ht="15" hidden="false" customHeight="false" outlineLevel="0" collapsed="false">
      <c r="A177" s="13"/>
      <c r="B177" s="13"/>
      <c r="C177" s="13"/>
      <c r="D177" s="14"/>
      <c r="E177" s="19" t="str">
        <f aca="false">IF($B177="","",IFERROR(INDEX(Inventario!$B$12:$B$211,MATCH($B177,Inventario!$A$12:$A$211,0)),"⚠ código no existe"))</f>
        <v/>
      </c>
      <c r="F177" s="15" t="str">
        <f aca="false">IF(OR($B177="",$C177="",$D177=""),"",N($D177)*INDEX(Config!$B$7:$K$7,MATCH($C177,Config!$B$6:$K$6,0)))</f>
        <v/>
      </c>
      <c r="G177" s="13"/>
    </row>
    <row r="178" customFormat="false" ht="15" hidden="false" customHeight="false" outlineLevel="0" collapsed="false">
      <c r="A178" s="13"/>
      <c r="B178" s="13"/>
      <c r="C178" s="13"/>
      <c r="D178" s="14"/>
      <c r="E178" s="19" t="str">
        <f aca="false">IF($B178="","",IFERROR(INDEX(Inventario!$B$12:$B$211,MATCH($B178,Inventario!$A$12:$A$211,0)),"⚠ código no existe"))</f>
        <v/>
      </c>
      <c r="F178" s="15" t="str">
        <f aca="false">IF(OR($B178="",$C178="",$D178=""),"",N($D178)*INDEX(Config!$B$7:$K$7,MATCH($C178,Config!$B$6:$K$6,0)))</f>
        <v/>
      </c>
      <c r="G178" s="13"/>
    </row>
    <row r="179" customFormat="false" ht="15" hidden="false" customHeight="false" outlineLevel="0" collapsed="false">
      <c r="A179" s="13"/>
      <c r="B179" s="13"/>
      <c r="C179" s="13"/>
      <c r="D179" s="14"/>
      <c r="E179" s="19" t="str">
        <f aca="false">IF($B179="","",IFERROR(INDEX(Inventario!$B$12:$B$211,MATCH($B179,Inventario!$A$12:$A$211,0)),"⚠ código no existe"))</f>
        <v/>
      </c>
      <c r="F179" s="15" t="str">
        <f aca="false">IF(OR($B179="",$C179="",$D179=""),"",N($D179)*INDEX(Config!$B$7:$K$7,MATCH($C179,Config!$B$6:$K$6,0)))</f>
        <v/>
      </c>
      <c r="G179" s="13"/>
    </row>
    <row r="180" customFormat="false" ht="15" hidden="false" customHeight="false" outlineLevel="0" collapsed="false">
      <c r="A180" s="13"/>
      <c r="B180" s="13"/>
      <c r="C180" s="13"/>
      <c r="D180" s="14"/>
      <c r="E180" s="19" t="str">
        <f aca="false">IF($B180="","",IFERROR(INDEX(Inventario!$B$12:$B$211,MATCH($B180,Inventario!$A$12:$A$211,0)),"⚠ código no existe"))</f>
        <v/>
      </c>
      <c r="F180" s="15" t="str">
        <f aca="false">IF(OR($B180="",$C180="",$D180=""),"",N($D180)*INDEX(Config!$B$7:$K$7,MATCH($C180,Config!$B$6:$K$6,0)))</f>
        <v/>
      </c>
      <c r="G180" s="13"/>
    </row>
    <row r="181" customFormat="false" ht="15" hidden="false" customHeight="false" outlineLevel="0" collapsed="false">
      <c r="A181" s="13"/>
      <c r="B181" s="13"/>
      <c r="C181" s="13"/>
      <c r="D181" s="14"/>
      <c r="E181" s="19" t="str">
        <f aca="false">IF($B181="","",IFERROR(INDEX(Inventario!$B$12:$B$211,MATCH($B181,Inventario!$A$12:$A$211,0)),"⚠ código no existe"))</f>
        <v/>
      </c>
      <c r="F181" s="15" t="str">
        <f aca="false">IF(OR($B181="",$C181="",$D181=""),"",N($D181)*INDEX(Config!$B$7:$K$7,MATCH($C181,Config!$B$6:$K$6,0)))</f>
        <v/>
      </c>
      <c r="G181" s="13"/>
    </row>
    <row r="182" customFormat="false" ht="15" hidden="false" customHeight="false" outlineLevel="0" collapsed="false">
      <c r="A182" s="13"/>
      <c r="B182" s="13"/>
      <c r="C182" s="13"/>
      <c r="D182" s="14"/>
      <c r="E182" s="19" t="str">
        <f aca="false">IF($B182="","",IFERROR(INDEX(Inventario!$B$12:$B$211,MATCH($B182,Inventario!$A$12:$A$211,0)),"⚠ código no existe"))</f>
        <v/>
      </c>
      <c r="F182" s="15" t="str">
        <f aca="false">IF(OR($B182="",$C182="",$D182=""),"",N($D182)*INDEX(Config!$B$7:$K$7,MATCH($C182,Config!$B$6:$K$6,0)))</f>
        <v/>
      </c>
      <c r="G182" s="13"/>
    </row>
    <row r="183" customFormat="false" ht="15" hidden="false" customHeight="false" outlineLevel="0" collapsed="false">
      <c r="A183" s="13"/>
      <c r="B183" s="13"/>
      <c r="C183" s="13"/>
      <c r="D183" s="14"/>
      <c r="E183" s="19" t="str">
        <f aca="false">IF($B183="","",IFERROR(INDEX(Inventario!$B$12:$B$211,MATCH($B183,Inventario!$A$12:$A$211,0)),"⚠ código no existe"))</f>
        <v/>
      </c>
      <c r="F183" s="15" t="str">
        <f aca="false">IF(OR($B183="",$C183="",$D183=""),"",N($D183)*INDEX(Config!$B$7:$K$7,MATCH($C183,Config!$B$6:$K$6,0)))</f>
        <v/>
      </c>
      <c r="G183" s="13"/>
    </row>
    <row r="184" customFormat="false" ht="15" hidden="false" customHeight="false" outlineLevel="0" collapsed="false">
      <c r="A184" s="13"/>
      <c r="B184" s="13"/>
      <c r="C184" s="13"/>
      <c r="D184" s="14"/>
      <c r="E184" s="19" t="str">
        <f aca="false">IF($B184="","",IFERROR(INDEX(Inventario!$B$12:$B$211,MATCH($B184,Inventario!$A$12:$A$211,0)),"⚠ código no existe"))</f>
        <v/>
      </c>
      <c r="F184" s="15" t="str">
        <f aca="false">IF(OR($B184="",$C184="",$D184=""),"",N($D184)*INDEX(Config!$B$7:$K$7,MATCH($C184,Config!$B$6:$K$6,0)))</f>
        <v/>
      </c>
      <c r="G184" s="13"/>
    </row>
    <row r="185" customFormat="false" ht="15" hidden="false" customHeight="false" outlineLevel="0" collapsed="false">
      <c r="A185" s="13"/>
      <c r="B185" s="13"/>
      <c r="C185" s="13"/>
      <c r="D185" s="14"/>
      <c r="E185" s="19" t="str">
        <f aca="false">IF($B185="","",IFERROR(INDEX(Inventario!$B$12:$B$211,MATCH($B185,Inventario!$A$12:$A$211,0)),"⚠ código no existe"))</f>
        <v/>
      </c>
      <c r="F185" s="15" t="str">
        <f aca="false">IF(OR($B185="",$C185="",$D185=""),"",N($D185)*INDEX(Config!$B$7:$K$7,MATCH($C185,Config!$B$6:$K$6,0)))</f>
        <v/>
      </c>
      <c r="G185" s="13"/>
    </row>
    <row r="186" customFormat="false" ht="15" hidden="false" customHeight="false" outlineLevel="0" collapsed="false">
      <c r="A186" s="13"/>
      <c r="B186" s="13"/>
      <c r="C186" s="13"/>
      <c r="D186" s="14"/>
      <c r="E186" s="19" t="str">
        <f aca="false">IF($B186="","",IFERROR(INDEX(Inventario!$B$12:$B$211,MATCH($B186,Inventario!$A$12:$A$211,0)),"⚠ código no existe"))</f>
        <v/>
      </c>
      <c r="F186" s="15" t="str">
        <f aca="false">IF(OR($B186="",$C186="",$D186=""),"",N($D186)*INDEX(Config!$B$7:$K$7,MATCH($C186,Config!$B$6:$K$6,0)))</f>
        <v/>
      </c>
      <c r="G186" s="13"/>
    </row>
    <row r="187" customFormat="false" ht="15" hidden="false" customHeight="false" outlineLevel="0" collapsed="false">
      <c r="A187" s="13"/>
      <c r="B187" s="13"/>
      <c r="C187" s="13"/>
      <c r="D187" s="14"/>
      <c r="E187" s="19" t="str">
        <f aca="false">IF($B187="","",IFERROR(INDEX(Inventario!$B$12:$B$211,MATCH($B187,Inventario!$A$12:$A$211,0)),"⚠ código no existe"))</f>
        <v/>
      </c>
      <c r="F187" s="15" t="str">
        <f aca="false">IF(OR($B187="",$C187="",$D187=""),"",N($D187)*INDEX(Config!$B$7:$K$7,MATCH($C187,Config!$B$6:$K$6,0)))</f>
        <v/>
      </c>
      <c r="G187" s="13"/>
    </row>
    <row r="188" customFormat="false" ht="15" hidden="false" customHeight="false" outlineLevel="0" collapsed="false">
      <c r="A188" s="13"/>
      <c r="B188" s="13"/>
      <c r="C188" s="13"/>
      <c r="D188" s="14"/>
      <c r="E188" s="19" t="str">
        <f aca="false">IF($B188="","",IFERROR(INDEX(Inventario!$B$12:$B$211,MATCH($B188,Inventario!$A$12:$A$211,0)),"⚠ código no existe"))</f>
        <v/>
      </c>
      <c r="F188" s="15" t="str">
        <f aca="false">IF(OR($B188="",$C188="",$D188=""),"",N($D188)*INDEX(Config!$B$7:$K$7,MATCH($C188,Config!$B$6:$K$6,0)))</f>
        <v/>
      </c>
      <c r="G188" s="13"/>
    </row>
    <row r="189" customFormat="false" ht="15" hidden="false" customHeight="false" outlineLevel="0" collapsed="false">
      <c r="A189" s="13"/>
      <c r="B189" s="13"/>
      <c r="C189" s="13"/>
      <c r="D189" s="14"/>
      <c r="E189" s="19" t="str">
        <f aca="false">IF($B189="","",IFERROR(INDEX(Inventario!$B$12:$B$211,MATCH($B189,Inventario!$A$12:$A$211,0)),"⚠ código no existe"))</f>
        <v/>
      </c>
      <c r="F189" s="15" t="str">
        <f aca="false">IF(OR($B189="",$C189="",$D189=""),"",N($D189)*INDEX(Config!$B$7:$K$7,MATCH($C189,Config!$B$6:$K$6,0)))</f>
        <v/>
      </c>
      <c r="G189" s="13"/>
    </row>
    <row r="190" customFormat="false" ht="15" hidden="false" customHeight="false" outlineLevel="0" collapsed="false">
      <c r="A190" s="13"/>
      <c r="B190" s="13"/>
      <c r="C190" s="13"/>
      <c r="D190" s="14"/>
      <c r="E190" s="19" t="str">
        <f aca="false">IF($B190="","",IFERROR(INDEX(Inventario!$B$12:$B$211,MATCH($B190,Inventario!$A$12:$A$211,0)),"⚠ código no existe"))</f>
        <v/>
      </c>
      <c r="F190" s="15" t="str">
        <f aca="false">IF(OR($B190="",$C190="",$D190=""),"",N($D190)*INDEX(Config!$B$7:$K$7,MATCH($C190,Config!$B$6:$K$6,0)))</f>
        <v/>
      </c>
      <c r="G190" s="13"/>
    </row>
    <row r="191" customFormat="false" ht="15" hidden="false" customHeight="false" outlineLevel="0" collapsed="false">
      <c r="A191" s="13"/>
      <c r="B191" s="13"/>
      <c r="C191" s="13"/>
      <c r="D191" s="14"/>
      <c r="E191" s="19" t="str">
        <f aca="false">IF($B191="","",IFERROR(INDEX(Inventario!$B$12:$B$211,MATCH($B191,Inventario!$A$12:$A$211,0)),"⚠ código no existe"))</f>
        <v/>
      </c>
      <c r="F191" s="15" t="str">
        <f aca="false">IF(OR($B191="",$C191="",$D191=""),"",N($D191)*INDEX(Config!$B$7:$K$7,MATCH($C191,Config!$B$6:$K$6,0)))</f>
        <v/>
      </c>
      <c r="G191" s="13"/>
    </row>
    <row r="192" customFormat="false" ht="15" hidden="false" customHeight="false" outlineLevel="0" collapsed="false">
      <c r="A192" s="13"/>
      <c r="B192" s="13"/>
      <c r="C192" s="13"/>
      <c r="D192" s="14"/>
      <c r="E192" s="19" t="str">
        <f aca="false">IF($B192="","",IFERROR(INDEX(Inventario!$B$12:$B$211,MATCH($B192,Inventario!$A$12:$A$211,0)),"⚠ código no existe"))</f>
        <v/>
      </c>
      <c r="F192" s="15" t="str">
        <f aca="false">IF(OR($B192="",$C192="",$D192=""),"",N($D192)*INDEX(Config!$B$7:$K$7,MATCH($C192,Config!$B$6:$K$6,0)))</f>
        <v/>
      </c>
      <c r="G192" s="13"/>
    </row>
    <row r="193" customFormat="false" ht="15" hidden="false" customHeight="false" outlineLevel="0" collapsed="false">
      <c r="A193" s="13"/>
      <c r="B193" s="13"/>
      <c r="C193" s="13"/>
      <c r="D193" s="14"/>
      <c r="E193" s="19" t="str">
        <f aca="false">IF($B193="","",IFERROR(INDEX(Inventario!$B$12:$B$211,MATCH($B193,Inventario!$A$12:$A$211,0)),"⚠ código no existe"))</f>
        <v/>
      </c>
      <c r="F193" s="15" t="str">
        <f aca="false">IF(OR($B193="",$C193="",$D193=""),"",N($D193)*INDEX(Config!$B$7:$K$7,MATCH($C193,Config!$B$6:$K$6,0)))</f>
        <v/>
      </c>
      <c r="G193" s="13"/>
    </row>
    <row r="194" customFormat="false" ht="15" hidden="false" customHeight="false" outlineLevel="0" collapsed="false">
      <c r="A194" s="13"/>
      <c r="B194" s="13"/>
      <c r="C194" s="13"/>
      <c r="D194" s="14"/>
      <c r="E194" s="19" t="str">
        <f aca="false">IF($B194="","",IFERROR(INDEX(Inventario!$B$12:$B$211,MATCH($B194,Inventario!$A$12:$A$211,0)),"⚠ código no existe"))</f>
        <v/>
      </c>
      <c r="F194" s="15" t="str">
        <f aca="false">IF(OR($B194="",$C194="",$D194=""),"",N($D194)*INDEX(Config!$B$7:$K$7,MATCH($C194,Config!$B$6:$K$6,0)))</f>
        <v/>
      </c>
      <c r="G194" s="13"/>
    </row>
    <row r="195" customFormat="false" ht="15" hidden="false" customHeight="false" outlineLevel="0" collapsed="false">
      <c r="A195" s="13"/>
      <c r="B195" s="13"/>
      <c r="C195" s="13"/>
      <c r="D195" s="14"/>
      <c r="E195" s="19" t="str">
        <f aca="false">IF($B195="","",IFERROR(INDEX(Inventario!$B$12:$B$211,MATCH($B195,Inventario!$A$12:$A$211,0)),"⚠ código no existe"))</f>
        <v/>
      </c>
      <c r="F195" s="15" t="str">
        <f aca="false">IF(OR($B195="",$C195="",$D195=""),"",N($D195)*INDEX(Config!$B$7:$K$7,MATCH($C195,Config!$B$6:$K$6,0)))</f>
        <v/>
      </c>
      <c r="G195" s="13"/>
    </row>
    <row r="196" customFormat="false" ht="15" hidden="false" customHeight="false" outlineLevel="0" collapsed="false">
      <c r="A196" s="13"/>
      <c r="B196" s="13"/>
      <c r="C196" s="13"/>
      <c r="D196" s="14"/>
      <c r="E196" s="19" t="str">
        <f aca="false">IF($B196="","",IFERROR(INDEX(Inventario!$B$12:$B$211,MATCH($B196,Inventario!$A$12:$A$211,0)),"⚠ código no existe"))</f>
        <v/>
      </c>
      <c r="F196" s="15" t="str">
        <f aca="false">IF(OR($B196="",$C196="",$D196=""),"",N($D196)*INDEX(Config!$B$7:$K$7,MATCH($C196,Config!$B$6:$K$6,0)))</f>
        <v/>
      </c>
      <c r="G196" s="13"/>
    </row>
    <row r="197" customFormat="false" ht="15" hidden="false" customHeight="false" outlineLevel="0" collapsed="false">
      <c r="A197" s="13"/>
      <c r="B197" s="13"/>
      <c r="C197" s="13"/>
      <c r="D197" s="14"/>
      <c r="E197" s="19" t="str">
        <f aca="false">IF($B197="","",IFERROR(INDEX(Inventario!$B$12:$B$211,MATCH($B197,Inventario!$A$12:$A$211,0)),"⚠ código no existe"))</f>
        <v/>
      </c>
      <c r="F197" s="15" t="str">
        <f aca="false">IF(OR($B197="",$C197="",$D197=""),"",N($D197)*INDEX(Config!$B$7:$K$7,MATCH($C197,Config!$B$6:$K$6,0)))</f>
        <v/>
      </c>
      <c r="G197" s="13"/>
    </row>
    <row r="198" customFormat="false" ht="15" hidden="false" customHeight="false" outlineLevel="0" collapsed="false">
      <c r="A198" s="13"/>
      <c r="B198" s="13"/>
      <c r="C198" s="13"/>
      <c r="D198" s="14"/>
      <c r="E198" s="19" t="str">
        <f aca="false">IF($B198="","",IFERROR(INDEX(Inventario!$B$12:$B$211,MATCH($B198,Inventario!$A$12:$A$211,0)),"⚠ código no existe"))</f>
        <v/>
      </c>
      <c r="F198" s="15" t="str">
        <f aca="false">IF(OR($B198="",$C198="",$D198=""),"",N($D198)*INDEX(Config!$B$7:$K$7,MATCH($C198,Config!$B$6:$K$6,0)))</f>
        <v/>
      </c>
      <c r="G198" s="13"/>
    </row>
    <row r="199" customFormat="false" ht="15" hidden="false" customHeight="false" outlineLevel="0" collapsed="false">
      <c r="A199" s="13"/>
      <c r="B199" s="13"/>
      <c r="C199" s="13"/>
      <c r="D199" s="14"/>
      <c r="E199" s="19" t="str">
        <f aca="false">IF($B199="","",IFERROR(INDEX(Inventario!$B$12:$B$211,MATCH($B199,Inventario!$A$12:$A$211,0)),"⚠ código no existe"))</f>
        <v/>
      </c>
      <c r="F199" s="15" t="str">
        <f aca="false">IF(OR($B199="",$C199="",$D199=""),"",N($D199)*INDEX(Config!$B$7:$K$7,MATCH($C199,Config!$B$6:$K$6,0)))</f>
        <v/>
      </c>
      <c r="G199" s="13"/>
    </row>
    <row r="200" customFormat="false" ht="15" hidden="false" customHeight="false" outlineLevel="0" collapsed="false">
      <c r="A200" s="13"/>
      <c r="B200" s="13"/>
      <c r="C200" s="13"/>
      <c r="D200" s="14"/>
      <c r="E200" s="19" t="str">
        <f aca="false">IF($B200="","",IFERROR(INDEX(Inventario!$B$12:$B$211,MATCH($B200,Inventario!$A$12:$A$211,0)),"⚠ código no existe"))</f>
        <v/>
      </c>
      <c r="F200" s="15" t="str">
        <f aca="false">IF(OR($B200="",$C200="",$D200=""),"",N($D200)*INDEX(Config!$B$7:$K$7,MATCH($C200,Config!$B$6:$K$6,0)))</f>
        <v/>
      </c>
      <c r="G200" s="13"/>
    </row>
    <row r="201" customFormat="false" ht="15" hidden="false" customHeight="false" outlineLevel="0" collapsed="false">
      <c r="A201" s="13"/>
      <c r="B201" s="13"/>
      <c r="C201" s="13"/>
      <c r="D201" s="14"/>
      <c r="E201" s="19" t="str">
        <f aca="false">IF($B201="","",IFERROR(INDEX(Inventario!$B$12:$B$211,MATCH($B201,Inventario!$A$12:$A$211,0)),"⚠ código no existe"))</f>
        <v/>
      </c>
      <c r="F201" s="15" t="str">
        <f aca="false">IF(OR($B201="",$C201="",$D201=""),"",N($D201)*INDEX(Config!$B$7:$K$7,MATCH($C201,Config!$B$6:$K$6,0)))</f>
        <v/>
      </c>
      <c r="G201" s="13"/>
    </row>
    <row r="202" customFormat="false" ht="15" hidden="false" customHeight="false" outlineLevel="0" collapsed="false">
      <c r="A202" s="13"/>
      <c r="B202" s="13"/>
      <c r="C202" s="13"/>
      <c r="D202" s="14"/>
      <c r="E202" s="19" t="str">
        <f aca="false">IF($B202="","",IFERROR(INDEX(Inventario!$B$12:$B$211,MATCH($B202,Inventario!$A$12:$A$211,0)),"⚠ código no existe"))</f>
        <v/>
      </c>
      <c r="F202" s="15" t="str">
        <f aca="false">IF(OR($B202="",$C202="",$D202=""),"",N($D202)*INDEX(Config!$B$7:$K$7,MATCH($C202,Config!$B$6:$K$6,0)))</f>
        <v/>
      </c>
      <c r="G202" s="13"/>
    </row>
    <row r="203" customFormat="false" ht="15" hidden="false" customHeight="false" outlineLevel="0" collapsed="false">
      <c r="A203" s="13"/>
      <c r="B203" s="13"/>
      <c r="C203" s="13"/>
      <c r="D203" s="14"/>
      <c r="E203" s="19" t="str">
        <f aca="false">IF($B203="","",IFERROR(INDEX(Inventario!$B$12:$B$211,MATCH($B203,Inventario!$A$12:$A$211,0)),"⚠ código no existe"))</f>
        <v/>
      </c>
      <c r="F203" s="15" t="str">
        <f aca="false">IF(OR($B203="",$C203="",$D203=""),"",N($D203)*INDEX(Config!$B$7:$K$7,MATCH($C203,Config!$B$6:$K$6,0)))</f>
        <v/>
      </c>
      <c r="G203" s="13"/>
    </row>
    <row r="204" customFormat="false" ht="15" hidden="false" customHeight="false" outlineLevel="0" collapsed="false">
      <c r="A204" s="13"/>
      <c r="B204" s="13"/>
      <c r="C204" s="13"/>
      <c r="D204" s="14"/>
      <c r="E204" s="19" t="str">
        <f aca="false">IF($B204="","",IFERROR(INDEX(Inventario!$B$12:$B$211,MATCH($B204,Inventario!$A$12:$A$211,0)),"⚠ código no existe"))</f>
        <v/>
      </c>
      <c r="F204" s="15" t="str">
        <f aca="false">IF(OR($B204="",$C204="",$D204=""),"",N($D204)*INDEX(Config!$B$7:$K$7,MATCH($C204,Config!$B$6:$K$6,0)))</f>
        <v/>
      </c>
      <c r="G204" s="13"/>
    </row>
    <row r="205" customFormat="false" ht="15" hidden="false" customHeight="false" outlineLevel="0" collapsed="false">
      <c r="A205" s="13"/>
      <c r="B205" s="13"/>
      <c r="C205" s="13"/>
      <c r="D205" s="14"/>
      <c r="E205" s="19" t="str">
        <f aca="false">IF($B205="","",IFERROR(INDEX(Inventario!$B$12:$B$211,MATCH($B205,Inventario!$A$12:$A$211,0)),"⚠ código no existe"))</f>
        <v/>
      </c>
      <c r="F205" s="15" t="str">
        <f aca="false">IF(OR($B205="",$C205="",$D205=""),"",N($D205)*INDEX(Config!$B$7:$K$7,MATCH($C205,Config!$B$6:$K$6,0)))</f>
        <v/>
      </c>
      <c r="G205" s="13"/>
    </row>
    <row r="206" customFormat="false" ht="15" hidden="false" customHeight="false" outlineLevel="0" collapsed="false">
      <c r="A206" s="13"/>
      <c r="B206" s="13"/>
      <c r="C206" s="13"/>
      <c r="D206" s="14"/>
      <c r="E206" s="19" t="str">
        <f aca="false">IF($B206="","",IFERROR(INDEX(Inventario!$B$12:$B$211,MATCH($B206,Inventario!$A$12:$A$211,0)),"⚠ código no existe"))</f>
        <v/>
      </c>
      <c r="F206" s="15" t="str">
        <f aca="false">IF(OR($B206="",$C206="",$D206=""),"",N($D206)*INDEX(Config!$B$7:$K$7,MATCH($C206,Config!$B$6:$K$6,0)))</f>
        <v/>
      </c>
      <c r="G206" s="13"/>
    </row>
    <row r="207" customFormat="false" ht="15" hidden="false" customHeight="false" outlineLevel="0" collapsed="false">
      <c r="A207" s="13"/>
      <c r="B207" s="13"/>
      <c r="C207" s="13"/>
      <c r="D207" s="14"/>
      <c r="E207" s="19" t="str">
        <f aca="false">IF($B207="","",IFERROR(INDEX(Inventario!$B$12:$B$211,MATCH($B207,Inventario!$A$12:$A$211,0)),"⚠ código no existe"))</f>
        <v/>
      </c>
      <c r="F207" s="15" t="str">
        <f aca="false">IF(OR($B207="",$C207="",$D207=""),"",N($D207)*INDEX(Config!$B$7:$K$7,MATCH($C207,Config!$B$6:$K$6,0)))</f>
        <v/>
      </c>
      <c r="G207" s="13"/>
    </row>
    <row r="208" customFormat="false" ht="15" hidden="false" customHeight="false" outlineLevel="0" collapsed="false">
      <c r="A208" s="13"/>
      <c r="B208" s="13"/>
      <c r="C208" s="13"/>
      <c r="D208" s="14"/>
      <c r="E208" s="19" t="str">
        <f aca="false">IF($B208="","",IFERROR(INDEX(Inventario!$B$12:$B$211,MATCH($B208,Inventario!$A$12:$A$211,0)),"⚠ código no existe"))</f>
        <v/>
      </c>
      <c r="F208" s="15" t="str">
        <f aca="false">IF(OR($B208="",$C208="",$D208=""),"",N($D208)*INDEX(Config!$B$7:$K$7,MATCH($C208,Config!$B$6:$K$6,0)))</f>
        <v/>
      </c>
      <c r="G208" s="13"/>
    </row>
    <row r="209" customFormat="false" ht="15" hidden="false" customHeight="false" outlineLevel="0" collapsed="false">
      <c r="A209" s="13"/>
      <c r="B209" s="13"/>
      <c r="C209" s="13"/>
      <c r="D209" s="14"/>
      <c r="E209" s="19" t="str">
        <f aca="false">IF($B209="","",IFERROR(INDEX(Inventario!$B$12:$B$211,MATCH($B209,Inventario!$A$12:$A$211,0)),"⚠ código no existe"))</f>
        <v/>
      </c>
      <c r="F209" s="15" t="str">
        <f aca="false">IF(OR($B209="",$C209="",$D209=""),"",N($D209)*INDEX(Config!$B$7:$K$7,MATCH($C209,Config!$B$6:$K$6,0)))</f>
        <v/>
      </c>
      <c r="G209" s="13"/>
    </row>
    <row r="210" customFormat="false" ht="15" hidden="false" customHeight="false" outlineLevel="0" collapsed="false">
      <c r="A210" s="13"/>
      <c r="B210" s="13"/>
      <c r="C210" s="13"/>
      <c r="D210" s="14"/>
      <c r="E210" s="19" t="str">
        <f aca="false">IF($B210="","",IFERROR(INDEX(Inventario!$B$12:$B$211,MATCH($B210,Inventario!$A$12:$A$211,0)),"⚠ código no existe"))</f>
        <v/>
      </c>
      <c r="F210" s="15" t="str">
        <f aca="false">IF(OR($B210="",$C210="",$D210=""),"",N($D210)*INDEX(Config!$B$7:$K$7,MATCH($C210,Config!$B$6:$K$6,0)))</f>
        <v/>
      </c>
      <c r="G210" s="13"/>
    </row>
    <row r="211" customFormat="false" ht="15" hidden="false" customHeight="false" outlineLevel="0" collapsed="false">
      <c r="A211" s="13"/>
      <c r="B211" s="13"/>
      <c r="C211" s="13"/>
      <c r="D211" s="14"/>
      <c r="E211" s="19" t="str">
        <f aca="false">IF($B211="","",IFERROR(INDEX(Inventario!$B$12:$B$211,MATCH($B211,Inventario!$A$12:$A$211,0)),"⚠ código no existe"))</f>
        <v/>
      </c>
      <c r="F211" s="15" t="str">
        <f aca="false">IF(OR($B211="",$C211="",$D211=""),"",N($D211)*INDEX(Config!$B$7:$K$7,MATCH($C211,Config!$B$6:$K$6,0)))</f>
        <v/>
      </c>
      <c r="G211" s="13"/>
    </row>
    <row r="212" customFormat="false" ht="15" hidden="false" customHeight="false" outlineLevel="0" collapsed="false">
      <c r="A212" s="13"/>
      <c r="B212" s="13"/>
      <c r="C212" s="13"/>
      <c r="D212" s="14"/>
      <c r="E212" s="19" t="str">
        <f aca="false">IF($B212="","",IFERROR(INDEX(Inventario!$B$12:$B$211,MATCH($B212,Inventario!$A$12:$A$211,0)),"⚠ código no existe"))</f>
        <v/>
      </c>
      <c r="F212" s="15" t="str">
        <f aca="false">IF(OR($B212="",$C212="",$D212=""),"",N($D212)*INDEX(Config!$B$7:$K$7,MATCH($C212,Config!$B$6:$K$6,0)))</f>
        <v/>
      </c>
      <c r="G212" s="13"/>
    </row>
    <row r="213" customFormat="false" ht="15" hidden="false" customHeight="false" outlineLevel="0" collapsed="false">
      <c r="A213" s="13"/>
      <c r="B213" s="13"/>
      <c r="C213" s="13"/>
      <c r="D213" s="14"/>
      <c r="E213" s="19" t="str">
        <f aca="false">IF($B213="","",IFERROR(INDEX(Inventario!$B$12:$B$211,MATCH($B213,Inventario!$A$12:$A$211,0)),"⚠ código no existe"))</f>
        <v/>
      </c>
      <c r="F213" s="15" t="str">
        <f aca="false">IF(OR($B213="",$C213="",$D213=""),"",N($D213)*INDEX(Config!$B$7:$K$7,MATCH($C213,Config!$B$6:$K$6,0)))</f>
        <v/>
      </c>
      <c r="G213" s="13"/>
    </row>
    <row r="214" customFormat="false" ht="15" hidden="false" customHeight="false" outlineLevel="0" collapsed="false">
      <c r="A214" s="13"/>
      <c r="B214" s="13"/>
      <c r="C214" s="13"/>
      <c r="D214" s="14"/>
      <c r="E214" s="19" t="str">
        <f aca="false">IF($B214="","",IFERROR(INDEX(Inventario!$B$12:$B$211,MATCH($B214,Inventario!$A$12:$A$211,0)),"⚠ código no existe"))</f>
        <v/>
      </c>
      <c r="F214" s="15" t="str">
        <f aca="false">IF(OR($B214="",$C214="",$D214=""),"",N($D214)*INDEX(Config!$B$7:$K$7,MATCH($C214,Config!$B$6:$K$6,0)))</f>
        <v/>
      </c>
      <c r="G214" s="13"/>
    </row>
    <row r="215" customFormat="false" ht="15" hidden="false" customHeight="false" outlineLevel="0" collapsed="false">
      <c r="A215" s="13"/>
      <c r="B215" s="13"/>
      <c r="C215" s="13"/>
      <c r="D215" s="14"/>
      <c r="E215" s="19" t="str">
        <f aca="false">IF($B215="","",IFERROR(INDEX(Inventario!$B$12:$B$211,MATCH($B215,Inventario!$A$12:$A$211,0)),"⚠ código no existe"))</f>
        <v/>
      </c>
      <c r="F215" s="15" t="str">
        <f aca="false">IF(OR($B215="",$C215="",$D215=""),"",N($D215)*INDEX(Config!$B$7:$K$7,MATCH($C215,Config!$B$6:$K$6,0)))</f>
        <v/>
      </c>
      <c r="G215" s="13"/>
    </row>
    <row r="216" customFormat="false" ht="15" hidden="false" customHeight="false" outlineLevel="0" collapsed="false">
      <c r="A216" s="13"/>
      <c r="B216" s="13"/>
      <c r="C216" s="13"/>
      <c r="D216" s="14"/>
      <c r="E216" s="19" t="str">
        <f aca="false">IF($B216="","",IFERROR(INDEX(Inventario!$B$12:$B$211,MATCH($B216,Inventario!$A$12:$A$211,0)),"⚠ código no existe"))</f>
        <v/>
      </c>
      <c r="F216" s="15" t="str">
        <f aca="false">IF(OR($B216="",$C216="",$D216=""),"",N($D216)*INDEX(Config!$B$7:$K$7,MATCH($C216,Config!$B$6:$K$6,0)))</f>
        <v/>
      </c>
      <c r="G216" s="13"/>
    </row>
    <row r="217" customFormat="false" ht="15" hidden="false" customHeight="false" outlineLevel="0" collapsed="false">
      <c r="A217" s="13"/>
      <c r="B217" s="13"/>
      <c r="C217" s="13"/>
      <c r="D217" s="14"/>
      <c r="E217" s="19" t="str">
        <f aca="false">IF($B217="","",IFERROR(INDEX(Inventario!$B$12:$B$211,MATCH($B217,Inventario!$A$12:$A$211,0)),"⚠ código no existe"))</f>
        <v/>
      </c>
      <c r="F217" s="15" t="str">
        <f aca="false">IF(OR($B217="",$C217="",$D217=""),"",N($D217)*INDEX(Config!$B$7:$K$7,MATCH($C217,Config!$B$6:$K$6,0)))</f>
        <v/>
      </c>
      <c r="G217" s="13"/>
    </row>
    <row r="218" customFormat="false" ht="15" hidden="false" customHeight="false" outlineLevel="0" collapsed="false">
      <c r="A218" s="13"/>
      <c r="B218" s="13"/>
      <c r="C218" s="13"/>
      <c r="D218" s="14"/>
      <c r="E218" s="19" t="str">
        <f aca="false">IF($B218="","",IFERROR(INDEX(Inventario!$B$12:$B$211,MATCH($B218,Inventario!$A$12:$A$211,0)),"⚠ código no existe"))</f>
        <v/>
      </c>
      <c r="F218" s="15" t="str">
        <f aca="false">IF(OR($B218="",$C218="",$D218=""),"",N($D218)*INDEX(Config!$B$7:$K$7,MATCH($C218,Config!$B$6:$K$6,0)))</f>
        <v/>
      </c>
      <c r="G218" s="13"/>
    </row>
    <row r="219" customFormat="false" ht="15" hidden="false" customHeight="false" outlineLevel="0" collapsed="false">
      <c r="A219" s="13"/>
      <c r="B219" s="13"/>
      <c r="C219" s="13"/>
      <c r="D219" s="14"/>
      <c r="E219" s="19" t="str">
        <f aca="false">IF($B219="","",IFERROR(INDEX(Inventario!$B$12:$B$211,MATCH($B219,Inventario!$A$12:$A$211,0)),"⚠ código no existe"))</f>
        <v/>
      </c>
      <c r="F219" s="15" t="str">
        <f aca="false">IF(OR($B219="",$C219="",$D219=""),"",N($D219)*INDEX(Config!$B$7:$K$7,MATCH($C219,Config!$B$6:$K$6,0)))</f>
        <v/>
      </c>
      <c r="G219" s="13"/>
    </row>
    <row r="220" customFormat="false" ht="15" hidden="false" customHeight="false" outlineLevel="0" collapsed="false">
      <c r="A220" s="13"/>
      <c r="B220" s="13"/>
      <c r="C220" s="13"/>
      <c r="D220" s="14"/>
      <c r="E220" s="19" t="str">
        <f aca="false">IF($B220="","",IFERROR(INDEX(Inventario!$B$12:$B$211,MATCH($B220,Inventario!$A$12:$A$211,0)),"⚠ código no existe"))</f>
        <v/>
      </c>
      <c r="F220" s="15" t="str">
        <f aca="false">IF(OR($B220="",$C220="",$D220=""),"",N($D220)*INDEX(Config!$B$7:$K$7,MATCH($C220,Config!$B$6:$K$6,0)))</f>
        <v/>
      </c>
      <c r="G220" s="13"/>
    </row>
    <row r="221" customFormat="false" ht="15" hidden="false" customHeight="false" outlineLevel="0" collapsed="false">
      <c r="A221" s="13"/>
      <c r="B221" s="13"/>
      <c r="C221" s="13"/>
      <c r="D221" s="14"/>
      <c r="E221" s="19" t="str">
        <f aca="false">IF($B221="","",IFERROR(INDEX(Inventario!$B$12:$B$211,MATCH($B221,Inventario!$A$12:$A$211,0)),"⚠ código no existe"))</f>
        <v/>
      </c>
      <c r="F221" s="15" t="str">
        <f aca="false">IF(OR($B221="",$C221="",$D221=""),"",N($D221)*INDEX(Config!$B$7:$K$7,MATCH($C221,Config!$B$6:$K$6,0)))</f>
        <v/>
      </c>
      <c r="G221" s="13"/>
    </row>
    <row r="222" customFormat="false" ht="15" hidden="false" customHeight="false" outlineLevel="0" collapsed="false">
      <c r="A222" s="13"/>
      <c r="B222" s="13"/>
      <c r="C222" s="13"/>
      <c r="D222" s="14"/>
      <c r="E222" s="19" t="str">
        <f aca="false">IF($B222="","",IFERROR(INDEX(Inventario!$B$12:$B$211,MATCH($B222,Inventario!$A$12:$A$211,0)),"⚠ código no existe"))</f>
        <v/>
      </c>
      <c r="F222" s="15" t="str">
        <f aca="false">IF(OR($B222="",$C222="",$D222=""),"",N($D222)*INDEX(Config!$B$7:$K$7,MATCH($C222,Config!$B$6:$K$6,0)))</f>
        <v/>
      </c>
      <c r="G222" s="13"/>
    </row>
    <row r="223" customFormat="false" ht="15" hidden="false" customHeight="false" outlineLevel="0" collapsed="false">
      <c r="A223" s="13"/>
      <c r="B223" s="13"/>
      <c r="C223" s="13"/>
      <c r="D223" s="14"/>
      <c r="E223" s="19" t="str">
        <f aca="false">IF($B223="","",IFERROR(INDEX(Inventario!$B$12:$B$211,MATCH($B223,Inventario!$A$12:$A$211,0)),"⚠ código no existe"))</f>
        <v/>
      </c>
      <c r="F223" s="15" t="str">
        <f aca="false">IF(OR($B223="",$C223="",$D223=""),"",N($D223)*INDEX(Config!$B$7:$K$7,MATCH($C223,Config!$B$6:$K$6,0)))</f>
        <v/>
      </c>
      <c r="G223" s="13"/>
    </row>
    <row r="224" customFormat="false" ht="15" hidden="false" customHeight="false" outlineLevel="0" collapsed="false">
      <c r="A224" s="13"/>
      <c r="B224" s="13"/>
      <c r="C224" s="13"/>
      <c r="D224" s="14"/>
      <c r="E224" s="19" t="str">
        <f aca="false">IF($B224="","",IFERROR(INDEX(Inventario!$B$12:$B$211,MATCH($B224,Inventario!$A$12:$A$211,0)),"⚠ código no existe"))</f>
        <v/>
      </c>
      <c r="F224" s="15" t="str">
        <f aca="false">IF(OR($B224="",$C224="",$D224=""),"",N($D224)*INDEX(Config!$B$7:$K$7,MATCH($C224,Config!$B$6:$K$6,0)))</f>
        <v/>
      </c>
      <c r="G224" s="13"/>
    </row>
    <row r="225" customFormat="false" ht="15" hidden="false" customHeight="false" outlineLevel="0" collapsed="false">
      <c r="A225" s="13"/>
      <c r="B225" s="13"/>
      <c r="C225" s="13"/>
      <c r="D225" s="14"/>
      <c r="E225" s="19" t="str">
        <f aca="false">IF($B225="","",IFERROR(INDEX(Inventario!$B$12:$B$211,MATCH($B225,Inventario!$A$12:$A$211,0)),"⚠ código no existe"))</f>
        <v/>
      </c>
      <c r="F225" s="15" t="str">
        <f aca="false">IF(OR($B225="",$C225="",$D225=""),"",N($D225)*INDEX(Config!$B$7:$K$7,MATCH($C225,Config!$B$6:$K$6,0)))</f>
        <v/>
      </c>
      <c r="G225" s="13"/>
    </row>
    <row r="226" customFormat="false" ht="15" hidden="false" customHeight="false" outlineLevel="0" collapsed="false">
      <c r="A226" s="13"/>
      <c r="B226" s="13"/>
      <c r="C226" s="13"/>
      <c r="D226" s="14"/>
      <c r="E226" s="19" t="str">
        <f aca="false">IF($B226="","",IFERROR(INDEX(Inventario!$B$12:$B$211,MATCH($B226,Inventario!$A$12:$A$211,0)),"⚠ código no existe"))</f>
        <v/>
      </c>
      <c r="F226" s="15" t="str">
        <f aca="false">IF(OR($B226="",$C226="",$D226=""),"",N($D226)*INDEX(Config!$B$7:$K$7,MATCH($C226,Config!$B$6:$K$6,0)))</f>
        <v/>
      </c>
      <c r="G226" s="13"/>
    </row>
    <row r="227" customFormat="false" ht="15" hidden="false" customHeight="false" outlineLevel="0" collapsed="false">
      <c r="A227" s="13"/>
      <c r="B227" s="13"/>
      <c r="C227" s="13"/>
      <c r="D227" s="14"/>
      <c r="E227" s="19" t="str">
        <f aca="false">IF($B227="","",IFERROR(INDEX(Inventario!$B$12:$B$211,MATCH($B227,Inventario!$A$12:$A$211,0)),"⚠ código no existe"))</f>
        <v/>
      </c>
      <c r="F227" s="15" t="str">
        <f aca="false">IF(OR($B227="",$C227="",$D227=""),"",N($D227)*INDEX(Config!$B$7:$K$7,MATCH($C227,Config!$B$6:$K$6,0)))</f>
        <v/>
      </c>
      <c r="G227" s="13"/>
    </row>
    <row r="228" customFormat="false" ht="15" hidden="false" customHeight="false" outlineLevel="0" collapsed="false">
      <c r="A228" s="13"/>
      <c r="B228" s="13"/>
      <c r="C228" s="13"/>
      <c r="D228" s="14"/>
      <c r="E228" s="19" t="str">
        <f aca="false">IF($B228="","",IFERROR(INDEX(Inventario!$B$12:$B$211,MATCH($B228,Inventario!$A$12:$A$211,0)),"⚠ código no existe"))</f>
        <v/>
      </c>
      <c r="F228" s="15" t="str">
        <f aca="false">IF(OR($B228="",$C228="",$D228=""),"",N($D228)*INDEX(Config!$B$7:$K$7,MATCH($C228,Config!$B$6:$K$6,0)))</f>
        <v/>
      </c>
      <c r="G228" s="13"/>
    </row>
    <row r="229" customFormat="false" ht="15" hidden="false" customHeight="false" outlineLevel="0" collapsed="false">
      <c r="A229" s="13"/>
      <c r="B229" s="13"/>
      <c r="C229" s="13"/>
      <c r="D229" s="14"/>
      <c r="E229" s="19" t="str">
        <f aca="false">IF($B229="","",IFERROR(INDEX(Inventario!$B$12:$B$211,MATCH($B229,Inventario!$A$12:$A$211,0)),"⚠ código no existe"))</f>
        <v/>
      </c>
      <c r="F229" s="15" t="str">
        <f aca="false">IF(OR($B229="",$C229="",$D229=""),"",N($D229)*INDEX(Config!$B$7:$K$7,MATCH($C229,Config!$B$6:$K$6,0)))</f>
        <v/>
      </c>
      <c r="G229" s="13"/>
    </row>
    <row r="230" customFormat="false" ht="15" hidden="false" customHeight="false" outlineLevel="0" collapsed="false">
      <c r="A230" s="13"/>
      <c r="B230" s="13"/>
      <c r="C230" s="13"/>
      <c r="D230" s="14"/>
      <c r="E230" s="19" t="str">
        <f aca="false">IF($B230="","",IFERROR(INDEX(Inventario!$B$12:$B$211,MATCH($B230,Inventario!$A$12:$A$211,0)),"⚠ código no existe"))</f>
        <v/>
      </c>
      <c r="F230" s="15" t="str">
        <f aca="false">IF(OR($B230="",$C230="",$D230=""),"",N($D230)*INDEX(Config!$B$7:$K$7,MATCH($C230,Config!$B$6:$K$6,0)))</f>
        <v/>
      </c>
      <c r="G230" s="13"/>
    </row>
    <row r="231" customFormat="false" ht="15" hidden="false" customHeight="false" outlineLevel="0" collapsed="false">
      <c r="A231" s="13"/>
      <c r="B231" s="13"/>
      <c r="C231" s="13"/>
      <c r="D231" s="14"/>
      <c r="E231" s="19" t="str">
        <f aca="false">IF($B231="","",IFERROR(INDEX(Inventario!$B$12:$B$211,MATCH($B231,Inventario!$A$12:$A$211,0)),"⚠ código no existe"))</f>
        <v/>
      </c>
      <c r="F231" s="15" t="str">
        <f aca="false">IF(OR($B231="",$C231="",$D231=""),"",N($D231)*INDEX(Config!$B$7:$K$7,MATCH($C231,Config!$B$6:$K$6,0)))</f>
        <v/>
      </c>
      <c r="G231" s="13"/>
    </row>
    <row r="232" customFormat="false" ht="15" hidden="false" customHeight="false" outlineLevel="0" collapsed="false">
      <c r="A232" s="13"/>
      <c r="B232" s="13"/>
      <c r="C232" s="13"/>
      <c r="D232" s="14"/>
      <c r="E232" s="19" t="str">
        <f aca="false">IF($B232="","",IFERROR(INDEX(Inventario!$B$12:$B$211,MATCH($B232,Inventario!$A$12:$A$211,0)),"⚠ código no existe"))</f>
        <v/>
      </c>
      <c r="F232" s="15" t="str">
        <f aca="false">IF(OR($B232="",$C232="",$D232=""),"",N($D232)*INDEX(Config!$B$7:$K$7,MATCH($C232,Config!$B$6:$K$6,0)))</f>
        <v/>
      </c>
      <c r="G232" s="13"/>
    </row>
    <row r="233" customFormat="false" ht="15" hidden="false" customHeight="false" outlineLevel="0" collapsed="false">
      <c r="A233" s="13"/>
      <c r="B233" s="13"/>
      <c r="C233" s="13"/>
      <c r="D233" s="14"/>
      <c r="E233" s="19" t="str">
        <f aca="false">IF($B233="","",IFERROR(INDEX(Inventario!$B$12:$B$211,MATCH($B233,Inventario!$A$12:$A$211,0)),"⚠ código no existe"))</f>
        <v/>
      </c>
      <c r="F233" s="15" t="str">
        <f aca="false">IF(OR($B233="",$C233="",$D233=""),"",N($D233)*INDEX(Config!$B$7:$K$7,MATCH($C233,Config!$B$6:$K$6,0)))</f>
        <v/>
      </c>
      <c r="G233" s="13"/>
    </row>
    <row r="234" customFormat="false" ht="15" hidden="false" customHeight="false" outlineLevel="0" collapsed="false">
      <c r="A234" s="13"/>
      <c r="B234" s="13"/>
      <c r="C234" s="13"/>
      <c r="D234" s="14"/>
      <c r="E234" s="19" t="str">
        <f aca="false">IF($B234="","",IFERROR(INDEX(Inventario!$B$12:$B$211,MATCH($B234,Inventario!$A$12:$A$211,0)),"⚠ código no existe"))</f>
        <v/>
      </c>
      <c r="F234" s="15" t="str">
        <f aca="false">IF(OR($B234="",$C234="",$D234=""),"",N($D234)*INDEX(Config!$B$7:$K$7,MATCH($C234,Config!$B$6:$K$6,0)))</f>
        <v/>
      </c>
      <c r="G234" s="13"/>
    </row>
    <row r="235" customFormat="false" ht="15" hidden="false" customHeight="false" outlineLevel="0" collapsed="false">
      <c r="A235" s="13"/>
      <c r="B235" s="13"/>
      <c r="C235" s="13"/>
      <c r="D235" s="14"/>
      <c r="E235" s="19" t="str">
        <f aca="false">IF($B235="","",IFERROR(INDEX(Inventario!$B$12:$B$211,MATCH($B235,Inventario!$A$12:$A$211,0)),"⚠ código no existe"))</f>
        <v/>
      </c>
      <c r="F235" s="15" t="str">
        <f aca="false">IF(OR($B235="",$C235="",$D235=""),"",N($D235)*INDEX(Config!$B$7:$K$7,MATCH($C235,Config!$B$6:$K$6,0)))</f>
        <v/>
      </c>
      <c r="G235" s="13"/>
    </row>
    <row r="236" customFormat="false" ht="15" hidden="false" customHeight="false" outlineLevel="0" collapsed="false">
      <c r="A236" s="13"/>
      <c r="B236" s="13"/>
      <c r="C236" s="13"/>
      <c r="D236" s="14"/>
      <c r="E236" s="19" t="str">
        <f aca="false">IF($B236="","",IFERROR(INDEX(Inventario!$B$12:$B$211,MATCH($B236,Inventario!$A$12:$A$211,0)),"⚠ código no existe"))</f>
        <v/>
      </c>
      <c r="F236" s="15" t="str">
        <f aca="false">IF(OR($B236="",$C236="",$D236=""),"",N($D236)*INDEX(Config!$B$7:$K$7,MATCH($C236,Config!$B$6:$K$6,0)))</f>
        <v/>
      </c>
      <c r="G236" s="13"/>
    </row>
    <row r="237" customFormat="false" ht="15" hidden="false" customHeight="false" outlineLevel="0" collapsed="false">
      <c r="A237" s="13"/>
      <c r="B237" s="13"/>
      <c r="C237" s="13"/>
      <c r="D237" s="14"/>
      <c r="E237" s="19" t="str">
        <f aca="false">IF($B237="","",IFERROR(INDEX(Inventario!$B$12:$B$211,MATCH($B237,Inventario!$A$12:$A$211,0)),"⚠ código no existe"))</f>
        <v/>
      </c>
      <c r="F237" s="15" t="str">
        <f aca="false">IF(OR($B237="",$C237="",$D237=""),"",N($D237)*INDEX(Config!$B$7:$K$7,MATCH($C237,Config!$B$6:$K$6,0)))</f>
        <v/>
      </c>
      <c r="G237" s="13"/>
    </row>
    <row r="238" customFormat="false" ht="15" hidden="false" customHeight="false" outlineLevel="0" collapsed="false">
      <c r="A238" s="13"/>
      <c r="B238" s="13"/>
      <c r="C238" s="13"/>
      <c r="D238" s="14"/>
      <c r="E238" s="19" t="str">
        <f aca="false">IF($B238="","",IFERROR(INDEX(Inventario!$B$12:$B$211,MATCH($B238,Inventario!$A$12:$A$211,0)),"⚠ código no existe"))</f>
        <v/>
      </c>
      <c r="F238" s="15" t="str">
        <f aca="false">IF(OR($B238="",$C238="",$D238=""),"",N($D238)*INDEX(Config!$B$7:$K$7,MATCH($C238,Config!$B$6:$K$6,0)))</f>
        <v/>
      </c>
      <c r="G238" s="13"/>
    </row>
    <row r="239" customFormat="false" ht="15" hidden="false" customHeight="false" outlineLevel="0" collapsed="false">
      <c r="A239" s="13"/>
      <c r="B239" s="13"/>
      <c r="C239" s="13"/>
      <c r="D239" s="14"/>
      <c r="E239" s="19" t="str">
        <f aca="false">IF($B239="","",IFERROR(INDEX(Inventario!$B$12:$B$211,MATCH($B239,Inventario!$A$12:$A$211,0)),"⚠ código no existe"))</f>
        <v/>
      </c>
      <c r="F239" s="15" t="str">
        <f aca="false">IF(OR($B239="",$C239="",$D239=""),"",N($D239)*INDEX(Config!$B$7:$K$7,MATCH($C239,Config!$B$6:$K$6,0)))</f>
        <v/>
      </c>
      <c r="G239" s="13"/>
    </row>
    <row r="240" customFormat="false" ht="15" hidden="false" customHeight="false" outlineLevel="0" collapsed="false">
      <c r="A240" s="13"/>
      <c r="B240" s="13"/>
      <c r="C240" s="13"/>
      <c r="D240" s="14"/>
      <c r="E240" s="19" t="str">
        <f aca="false">IF($B240="","",IFERROR(INDEX(Inventario!$B$12:$B$211,MATCH($B240,Inventario!$A$12:$A$211,0)),"⚠ código no existe"))</f>
        <v/>
      </c>
      <c r="F240" s="15" t="str">
        <f aca="false">IF(OR($B240="",$C240="",$D240=""),"",N($D240)*INDEX(Config!$B$7:$K$7,MATCH($C240,Config!$B$6:$K$6,0)))</f>
        <v/>
      </c>
      <c r="G240" s="13"/>
    </row>
    <row r="241" customFormat="false" ht="15" hidden="false" customHeight="false" outlineLevel="0" collapsed="false">
      <c r="A241" s="13"/>
      <c r="B241" s="13"/>
      <c r="C241" s="13"/>
      <c r="D241" s="14"/>
      <c r="E241" s="19" t="str">
        <f aca="false">IF($B241="","",IFERROR(INDEX(Inventario!$B$12:$B$211,MATCH($B241,Inventario!$A$12:$A$211,0)),"⚠ código no existe"))</f>
        <v/>
      </c>
      <c r="F241" s="15" t="str">
        <f aca="false">IF(OR($B241="",$C241="",$D241=""),"",N($D241)*INDEX(Config!$B$7:$K$7,MATCH($C241,Config!$B$6:$K$6,0)))</f>
        <v/>
      </c>
      <c r="G241" s="13"/>
    </row>
    <row r="242" customFormat="false" ht="15" hidden="false" customHeight="false" outlineLevel="0" collapsed="false">
      <c r="A242" s="13"/>
      <c r="B242" s="13"/>
      <c r="C242" s="13"/>
      <c r="D242" s="14"/>
      <c r="E242" s="19" t="str">
        <f aca="false">IF($B242="","",IFERROR(INDEX(Inventario!$B$12:$B$211,MATCH($B242,Inventario!$A$12:$A$211,0)),"⚠ código no existe"))</f>
        <v/>
      </c>
      <c r="F242" s="15" t="str">
        <f aca="false">IF(OR($B242="",$C242="",$D242=""),"",N($D242)*INDEX(Config!$B$7:$K$7,MATCH($C242,Config!$B$6:$K$6,0)))</f>
        <v/>
      </c>
      <c r="G242" s="13"/>
    </row>
    <row r="243" customFormat="false" ht="15" hidden="false" customHeight="false" outlineLevel="0" collapsed="false">
      <c r="A243" s="13"/>
      <c r="B243" s="13"/>
      <c r="C243" s="13"/>
      <c r="D243" s="14"/>
      <c r="E243" s="19" t="str">
        <f aca="false">IF($B243="","",IFERROR(INDEX(Inventario!$B$12:$B$211,MATCH($B243,Inventario!$A$12:$A$211,0)),"⚠ código no existe"))</f>
        <v/>
      </c>
      <c r="F243" s="15" t="str">
        <f aca="false">IF(OR($B243="",$C243="",$D243=""),"",N($D243)*INDEX(Config!$B$7:$K$7,MATCH($C243,Config!$B$6:$K$6,0)))</f>
        <v/>
      </c>
      <c r="G243" s="13"/>
    </row>
    <row r="244" customFormat="false" ht="15" hidden="false" customHeight="false" outlineLevel="0" collapsed="false">
      <c r="A244" s="13"/>
      <c r="B244" s="13"/>
      <c r="C244" s="13"/>
      <c r="D244" s="14"/>
      <c r="E244" s="19" t="str">
        <f aca="false">IF($B244="","",IFERROR(INDEX(Inventario!$B$12:$B$211,MATCH($B244,Inventario!$A$12:$A$211,0)),"⚠ código no existe"))</f>
        <v/>
      </c>
      <c r="F244" s="15" t="str">
        <f aca="false">IF(OR($B244="",$C244="",$D244=""),"",N($D244)*INDEX(Config!$B$7:$K$7,MATCH($C244,Config!$B$6:$K$6,0)))</f>
        <v/>
      </c>
      <c r="G244" s="13"/>
    </row>
    <row r="245" customFormat="false" ht="15" hidden="false" customHeight="false" outlineLevel="0" collapsed="false">
      <c r="A245" s="13"/>
      <c r="B245" s="13"/>
      <c r="C245" s="13"/>
      <c r="D245" s="14"/>
      <c r="E245" s="19" t="str">
        <f aca="false">IF($B245="","",IFERROR(INDEX(Inventario!$B$12:$B$211,MATCH($B245,Inventario!$A$12:$A$211,0)),"⚠ código no existe"))</f>
        <v/>
      </c>
      <c r="F245" s="15" t="str">
        <f aca="false">IF(OR($B245="",$C245="",$D245=""),"",N($D245)*INDEX(Config!$B$7:$K$7,MATCH($C245,Config!$B$6:$K$6,0)))</f>
        <v/>
      </c>
      <c r="G245" s="13"/>
    </row>
    <row r="246" customFormat="false" ht="15" hidden="false" customHeight="false" outlineLevel="0" collapsed="false">
      <c r="A246" s="13"/>
      <c r="B246" s="13"/>
      <c r="C246" s="13"/>
      <c r="D246" s="14"/>
      <c r="E246" s="19" t="str">
        <f aca="false">IF($B246="","",IFERROR(INDEX(Inventario!$B$12:$B$211,MATCH($B246,Inventario!$A$12:$A$211,0)),"⚠ código no existe"))</f>
        <v/>
      </c>
      <c r="F246" s="15" t="str">
        <f aca="false">IF(OR($B246="",$C246="",$D246=""),"",N($D246)*INDEX(Config!$B$7:$K$7,MATCH($C246,Config!$B$6:$K$6,0)))</f>
        <v/>
      </c>
      <c r="G246" s="13"/>
    </row>
    <row r="247" customFormat="false" ht="15" hidden="false" customHeight="false" outlineLevel="0" collapsed="false">
      <c r="A247" s="13"/>
      <c r="B247" s="13"/>
      <c r="C247" s="13"/>
      <c r="D247" s="14"/>
      <c r="E247" s="19" t="str">
        <f aca="false">IF($B247="","",IFERROR(INDEX(Inventario!$B$12:$B$211,MATCH($B247,Inventario!$A$12:$A$211,0)),"⚠ código no existe"))</f>
        <v/>
      </c>
      <c r="F247" s="15" t="str">
        <f aca="false">IF(OR($B247="",$C247="",$D247=""),"",N($D247)*INDEX(Config!$B$7:$K$7,MATCH($C247,Config!$B$6:$K$6,0)))</f>
        <v/>
      </c>
      <c r="G247" s="13"/>
    </row>
    <row r="248" customFormat="false" ht="15" hidden="false" customHeight="false" outlineLevel="0" collapsed="false">
      <c r="A248" s="13"/>
      <c r="B248" s="13"/>
      <c r="C248" s="13"/>
      <c r="D248" s="14"/>
      <c r="E248" s="19" t="str">
        <f aca="false">IF($B248="","",IFERROR(INDEX(Inventario!$B$12:$B$211,MATCH($B248,Inventario!$A$12:$A$211,0)),"⚠ código no existe"))</f>
        <v/>
      </c>
      <c r="F248" s="15" t="str">
        <f aca="false">IF(OR($B248="",$C248="",$D248=""),"",N($D248)*INDEX(Config!$B$7:$K$7,MATCH($C248,Config!$B$6:$K$6,0)))</f>
        <v/>
      </c>
      <c r="G248" s="13"/>
    </row>
    <row r="249" customFormat="false" ht="15" hidden="false" customHeight="false" outlineLevel="0" collapsed="false">
      <c r="A249" s="13"/>
      <c r="B249" s="13"/>
      <c r="C249" s="13"/>
      <c r="D249" s="14"/>
      <c r="E249" s="19" t="str">
        <f aca="false">IF($B249="","",IFERROR(INDEX(Inventario!$B$12:$B$211,MATCH($B249,Inventario!$A$12:$A$211,0)),"⚠ código no existe"))</f>
        <v/>
      </c>
      <c r="F249" s="15" t="str">
        <f aca="false">IF(OR($B249="",$C249="",$D249=""),"",N($D249)*INDEX(Config!$B$7:$K$7,MATCH($C249,Config!$B$6:$K$6,0)))</f>
        <v/>
      </c>
      <c r="G249" s="13"/>
    </row>
    <row r="250" customFormat="false" ht="15" hidden="false" customHeight="false" outlineLevel="0" collapsed="false">
      <c r="A250" s="13"/>
      <c r="B250" s="13"/>
      <c r="C250" s="13"/>
      <c r="D250" s="14"/>
      <c r="E250" s="19" t="str">
        <f aca="false">IF($B250="","",IFERROR(INDEX(Inventario!$B$12:$B$211,MATCH($B250,Inventario!$A$12:$A$211,0)),"⚠ código no existe"))</f>
        <v/>
      </c>
      <c r="F250" s="15" t="str">
        <f aca="false">IF(OR($B250="",$C250="",$D250=""),"",N($D250)*INDEX(Config!$B$7:$K$7,MATCH($C250,Config!$B$6:$K$6,0)))</f>
        <v/>
      </c>
      <c r="G250" s="13"/>
    </row>
    <row r="251" customFormat="false" ht="15" hidden="false" customHeight="false" outlineLevel="0" collapsed="false">
      <c r="A251" s="13"/>
      <c r="B251" s="13"/>
      <c r="C251" s="13"/>
      <c r="D251" s="14"/>
      <c r="E251" s="19" t="str">
        <f aca="false">IF($B251="","",IFERROR(INDEX(Inventario!$B$12:$B$211,MATCH($B251,Inventario!$A$12:$A$211,0)),"⚠ código no existe"))</f>
        <v/>
      </c>
      <c r="F251" s="15" t="str">
        <f aca="false">IF(OR($B251="",$C251="",$D251=""),"",N($D251)*INDEX(Config!$B$7:$K$7,MATCH($C251,Config!$B$6:$K$6,0)))</f>
        <v/>
      </c>
      <c r="G251" s="13"/>
    </row>
    <row r="252" customFormat="false" ht="15" hidden="false" customHeight="false" outlineLevel="0" collapsed="false">
      <c r="A252" s="13"/>
      <c r="B252" s="13"/>
      <c r="C252" s="13"/>
      <c r="D252" s="14"/>
      <c r="E252" s="19" t="str">
        <f aca="false">IF($B252="","",IFERROR(INDEX(Inventario!$B$12:$B$211,MATCH($B252,Inventario!$A$12:$A$211,0)),"⚠ código no existe"))</f>
        <v/>
      </c>
      <c r="F252" s="15" t="str">
        <f aca="false">IF(OR($B252="",$C252="",$D252=""),"",N($D252)*INDEX(Config!$B$7:$K$7,MATCH($C252,Config!$B$6:$K$6,0)))</f>
        <v/>
      </c>
      <c r="G252" s="13"/>
    </row>
    <row r="253" customFormat="false" ht="15" hidden="false" customHeight="false" outlineLevel="0" collapsed="false">
      <c r="A253" s="13"/>
      <c r="B253" s="13"/>
      <c r="C253" s="13"/>
      <c r="D253" s="14"/>
      <c r="E253" s="19" t="str">
        <f aca="false">IF($B253="","",IFERROR(INDEX(Inventario!$B$12:$B$211,MATCH($B253,Inventario!$A$12:$A$211,0)),"⚠ código no existe"))</f>
        <v/>
      </c>
      <c r="F253" s="15" t="str">
        <f aca="false">IF(OR($B253="",$C253="",$D253=""),"",N($D253)*INDEX(Config!$B$7:$K$7,MATCH($C253,Config!$B$6:$K$6,0)))</f>
        <v/>
      </c>
      <c r="G253" s="13"/>
    </row>
    <row r="254" customFormat="false" ht="15" hidden="false" customHeight="false" outlineLevel="0" collapsed="false">
      <c r="A254" s="13"/>
      <c r="B254" s="13"/>
      <c r="C254" s="13"/>
      <c r="D254" s="14"/>
      <c r="E254" s="19" t="str">
        <f aca="false">IF($B254="","",IFERROR(INDEX(Inventario!$B$12:$B$211,MATCH($B254,Inventario!$A$12:$A$211,0)),"⚠ código no existe"))</f>
        <v/>
      </c>
      <c r="F254" s="15" t="str">
        <f aca="false">IF(OR($B254="",$C254="",$D254=""),"",N($D254)*INDEX(Config!$B$7:$K$7,MATCH($C254,Config!$B$6:$K$6,0)))</f>
        <v/>
      </c>
      <c r="G254" s="13"/>
    </row>
    <row r="255" customFormat="false" ht="15" hidden="false" customHeight="false" outlineLevel="0" collapsed="false">
      <c r="A255" s="13"/>
      <c r="B255" s="13"/>
      <c r="C255" s="13"/>
      <c r="D255" s="14"/>
      <c r="E255" s="19" t="str">
        <f aca="false">IF($B255="","",IFERROR(INDEX(Inventario!$B$12:$B$211,MATCH($B255,Inventario!$A$12:$A$211,0)),"⚠ código no existe"))</f>
        <v/>
      </c>
      <c r="F255" s="15" t="str">
        <f aca="false">IF(OR($B255="",$C255="",$D255=""),"",N($D255)*INDEX(Config!$B$7:$K$7,MATCH($C255,Config!$B$6:$K$6,0)))</f>
        <v/>
      </c>
      <c r="G255" s="13"/>
    </row>
    <row r="256" customFormat="false" ht="15" hidden="false" customHeight="false" outlineLevel="0" collapsed="false">
      <c r="A256" s="13"/>
      <c r="B256" s="13"/>
      <c r="C256" s="13"/>
      <c r="D256" s="14"/>
      <c r="E256" s="19" t="str">
        <f aca="false">IF($B256="","",IFERROR(INDEX(Inventario!$B$12:$B$211,MATCH($B256,Inventario!$A$12:$A$211,0)),"⚠ código no existe"))</f>
        <v/>
      </c>
      <c r="F256" s="15" t="str">
        <f aca="false">IF(OR($B256="",$C256="",$D256=""),"",N($D256)*INDEX(Config!$B$7:$K$7,MATCH($C256,Config!$B$6:$K$6,0)))</f>
        <v/>
      </c>
      <c r="G256" s="13"/>
    </row>
    <row r="257" customFormat="false" ht="15" hidden="false" customHeight="false" outlineLevel="0" collapsed="false">
      <c r="A257" s="13"/>
      <c r="B257" s="13"/>
      <c r="C257" s="13"/>
      <c r="D257" s="14"/>
      <c r="E257" s="19" t="str">
        <f aca="false">IF($B257="","",IFERROR(INDEX(Inventario!$B$12:$B$211,MATCH($B257,Inventario!$A$12:$A$211,0)),"⚠ código no existe"))</f>
        <v/>
      </c>
      <c r="F257" s="15" t="str">
        <f aca="false">IF(OR($B257="",$C257="",$D257=""),"",N($D257)*INDEX(Config!$B$7:$K$7,MATCH($C257,Config!$B$6:$K$6,0)))</f>
        <v/>
      </c>
      <c r="G257" s="13"/>
    </row>
    <row r="258" customFormat="false" ht="15" hidden="false" customHeight="false" outlineLevel="0" collapsed="false">
      <c r="A258" s="13"/>
      <c r="B258" s="13"/>
      <c r="C258" s="13"/>
      <c r="D258" s="14"/>
      <c r="E258" s="19" t="str">
        <f aca="false">IF($B258="","",IFERROR(INDEX(Inventario!$B$12:$B$211,MATCH($B258,Inventario!$A$12:$A$211,0)),"⚠ código no existe"))</f>
        <v/>
      </c>
      <c r="F258" s="15" t="str">
        <f aca="false">IF(OR($B258="",$C258="",$D258=""),"",N($D258)*INDEX(Config!$B$7:$K$7,MATCH($C258,Config!$B$6:$K$6,0)))</f>
        <v/>
      </c>
      <c r="G258" s="13"/>
    </row>
    <row r="259" customFormat="false" ht="15" hidden="false" customHeight="false" outlineLevel="0" collapsed="false">
      <c r="A259" s="13"/>
      <c r="B259" s="13"/>
      <c r="C259" s="13"/>
      <c r="D259" s="14"/>
      <c r="E259" s="19" t="str">
        <f aca="false">IF($B259="","",IFERROR(INDEX(Inventario!$B$12:$B$211,MATCH($B259,Inventario!$A$12:$A$211,0)),"⚠ código no existe"))</f>
        <v/>
      </c>
      <c r="F259" s="15" t="str">
        <f aca="false">IF(OR($B259="",$C259="",$D259=""),"",N($D259)*INDEX(Config!$B$7:$K$7,MATCH($C259,Config!$B$6:$K$6,0)))</f>
        <v/>
      </c>
      <c r="G259" s="13"/>
    </row>
    <row r="260" customFormat="false" ht="15" hidden="false" customHeight="false" outlineLevel="0" collapsed="false">
      <c r="A260" s="13"/>
      <c r="B260" s="13"/>
      <c r="C260" s="13"/>
      <c r="D260" s="14"/>
      <c r="E260" s="19" t="str">
        <f aca="false">IF($B260="","",IFERROR(INDEX(Inventario!$B$12:$B$211,MATCH($B260,Inventario!$A$12:$A$211,0)),"⚠ código no existe"))</f>
        <v/>
      </c>
      <c r="F260" s="15" t="str">
        <f aca="false">IF(OR($B260="",$C260="",$D260=""),"",N($D260)*INDEX(Config!$B$7:$K$7,MATCH($C260,Config!$B$6:$K$6,0)))</f>
        <v/>
      </c>
      <c r="G260" s="13"/>
    </row>
    <row r="261" customFormat="false" ht="15" hidden="false" customHeight="false" outlineLevel="0" collapsed="false">
      <c r="A261" s="13"/>
      <c r="B261" s="13"/>
      <c r="C261" s="13"/>
      <c r="D261" s="14"/>
      <c r="E261" s="19" t="str">
        <f aca="false">IF($B261="","",IFERROR(INDEX(Inventario!$B$12:$B$211,MATCH($B261,Inventario!$A$12:$A$211,0)),"⚠ código no existe"))</f>
        <v/>
      </c>
      <c r="F261" s="15" t="str">
        <f aca="false">IF(OR($B261="",$C261="",$D261=""),"",N($D261)*INDEX(Config!$B$7:$K$7,MATCH($C261,Config!$B$6:$K$6,0)))</f>
        <v/>
      </c>
      <c r="G261" s="13"/>
    </row>
    <row r="262" customFormat="false" ht="15" hidden="false" customHeight="false" outlineLevel="0" collapsed="false">
      <c r="A262" s="13"/>
      <c r="B262" s="13"/>
      <c r="C262" s="13"/>
      <c r="D262" s="14"/>
      <c r="E262" s="19" t="str">
        <f aca="false">IF($B262="","",IFERROR(INDEX(Inventario!$B$12:$B$211,MATCH($B262,Inventario!$A$12:$A$211,0)),"⚠ código no existe"))</f>
        <v/>
      </c>
      <c r="F262" s="15" t="str">
        <f aca="false">IF(OR($B262="",$C262="",$D262=""),"",N($D262)*INDEX(Config!$B$7:$K$7,MATCH($C262,Config!$B$6:$K$6,0)))</f>
        <v/>
      </c>
      <c r="G262" s="13"/>
    </row>
    <row r="263" customFormat="false" ht="15" hidden="false" customHeight="false" outlineLevel="0" collapsed="false">
      <c r="A263" s="13"/>
      <c r="B263" s="13"/>
      <c r="C263" s="13"/>
      <c r="D263" s="14"/>
      <c r="E263" s="19" t="str">
        <f aca="false">IF($B263="","",IFERROR(INDEX(Inventario!$B$12:$B$211,MATCH($B263,Inventario!$A$12:$A$211,0)),"⚠ código no existe"))</f>
        <v/>
      </c>
      <c r="F263" s="15" t="str">
        <f aca="false">IF(OR($B263="",$C263="",$D263=""),"",N($D263)*INDEX(Config!$B$7:$K$7,MATCH($C263,Config!$B$6:$K$6,0)))</f>
        <v/>
      </c>
      <c r="G263" s="13"/>
    </row>
    <row r="264" customFormat="false" ht="15" hidden="false" customHeight="false" outlineLevel="0" collapsed="false">
      <c r="A264" s="13"/>
      <c r="B264" s="13"/>
      <c r="C264" s="13"/>
      <c r="D264" s="14"/>
      <c r="E264" s="19" t="str">
        <f aca="false">IF($B264="","",IFERROR(INDEX(Inventario!$B$12:$B$211,MATCH($B264,Inventario!$A$12:$A$211,0)),"⚠ código no existe"))</f>
        <v/>
      </c>
      <c r="F264" s="15" t="str">
        <f aca="false">IF(OR($B264="",$C264="",$D264=""),"",N($D264)*INDEX(Config!$B$7:$K$7,MATCH($C264,Config!$B$6:$K$6,0)))</f>
        <v/>
      </c>
      <c r="G264" s="13"/>
    </row>
    <row r="265" customFormat="false" ht="15" hidden="false" customHeight="false" outlineLevel="0" collapsed="false">
      <c r="A265" s="13"/>
      <c r="B265" s="13"/>
      <c r="C265" s="13"/>
      <c r="D265" s="14"/>
      <c r="E265" s="19" t="str">
        <f aca="false">IF($B265="","",IFERROR(INDEX(Inventario!$B$12:$B$211,MATCH($B265,Inventario!$A$12:$A$211,0)),"⚠ código no existe"))</f>
        <v/>
      </c>
      <c r="F265" s="15" t="str">
        <f aca="false">IF(OR($B265="",$C265="",$D265=""),"",N($D265)*INDEX(Config!$B$7:$K$7,MATCH($C265,Config!$B$6:$K$6,0)))</f>
        <v/>
      </c>
      <c r="G265" s="13"/>
    </row>
    <row r="266" customFormat="false" ht="15" hidden="false" customHeight="false" outlineLevel="0" collapsed="false">
      <c r="A266" s="13"/>
      <c r="B266" s="13"/>
      <c r="C266" s="13"/>
      <c r="D266" s="14"/>
      <c r="E266" s="19" t="str">
        <f aca="false">IF($B266="","",IFERROR(INDEX(Inventario!$B$12:$B$211,MATCH($B266,Inventario!$A$12:$A$211,0)),"⚠ código no existe"))</f>
        <v/>
      </c>
      <c r="F266" s="15" t="str">
        <f aca="false">IF(OR($B266="",$C266="",$D266=""),"",N($D266)*INDEX(Config!$B$7:$K$7,MATCH($C266,Config!$B$6:$K$6,0)))</f>
        <v/>
      </c>
      <c r="G266" s="13"/>
    </row>
    <row r="267" customFormat="false" ht="15" hidden="false" customHeight="false" outlineLevel="0" collapsed="false">
      <c r="A267" s="13"/>
      <c r="B267" s="13"/>
      <c r="C267" s="13"/>
      <c r="D267" s="14"/>
      <c r="E267" s="19" t="str">
        <f aca="false">IF($B267="","",IFERROR(INDEX(Inventario!$B$12:$B$211,MATCH($B267,Inventario!$A$12:$A$211,0)),"⚠ código no existe"))</f>
        <v/>
      </c>
      <c r="F267" s="15" t="str">
        <f aca="false">IF(OR($B267="",$C267="",$D267=""),"",N($D267)*INDEX(Config!$B$7:$K$7,MATCH($C267,Config!$B$6:$K$6,0)))</f>
        <v/>
      </c>
      <c r="G267" s="13"/>
    </row>
    <row r="268" customFormat="false" ht="15" hidden="false" customHeight="false" outlineLevel="0" collapsed="false">
      <c r="A268" s="13"/>
      <c r="B268" s="13"/>
      <c r="C268" s="13"/>
      <c r="D268" s="14"/>
      <c r="E268" s="19" t="str">
        <f aca="false">IF($B268="","",IFERROR(INDEX(Inventario!$B$12:$B$211,MATCH($B268,Inventario!$A$12:$A$211,0)),"⚠ código no existe"))</f>
        <v/>
      </c>
      <c r="F268" s="15" t="str">
        <f aca="false">IF(OR($B268="",$C268="",$D268=""),"",N($D268)*INDEX(Config!$B$7:$K$7,MATCH($C268,Config!$B$6:$K$6,0)))</f>
        <v/>
      </c>
      <c r="G268" s="13"/>
    </row>
    <row r="269" customFormat="false" ht="15" hidden="false" customHeight="false" outlineLevel="0" collapsed="false">
      <c r="A269" s="13"/>
      <c r="B269" s="13"/>
      <c r="C269" s="13"/>
      <c r="D269" s="14"/>
      <c r="E269" s="19" t="str">
        <f aca="false">IF($B269="","",IFERROR(INDEX(Inventario!$B$12:$B$211,MATCH($B269,Inventario!$A$12:$A$211,0)),"⚠ código no existe"))</f>
        <v/>
      </c>
      <c r="F269" s="15" t="str">
        <f aca="false">IF(OR($B269="",$C269="",$D269=""),"",N($D269)*INDEX(Config!$B$7:$K$7,MATCH($C269,Config!$B$6:$K$6,0)))</f>
        <v/>
      </c>
      <c r="G269" s="13"/>
    </row>
    <row r="270" customFormat="false" ht="15" hidden="false" customHeight="false" outlineLevel="0" collapsed="false">
      <c r="A270" s="13"/>
      <c r="B270" s="13"/>
      <c r="C270" s="13"/>
      <c r="D270" s="14"/>
      <c r="E270" s="19" t="str">
        <f aca="false">IF($B270="","",IFERROR(INDEX(Inventario!$B$12:$B$211,MATCH($B270,Inventario!$A$12:$A$211,0)),"⚠ código no existe"))</f>
        <v/>
      </c>
      <c r="F270" s="15" t="str">
        <f aca="false">IF(OR($B270="",$C270="",$D270=""),"",N($D270)*INDEX(Config!$B$7:$K$7,MATCH($C270,Config!$B$6:$K$6,0)))</f>
        <v/>
      </c>
      <c r="G270" s="13"/>
    </row>
    <row r="271" customFormat="false" ht="15" hidden="false" customHeight="false" outlineLevel="0" collapsed="false">
      <c r="A271" s="13"/>
      <c r="B271" s="13"/>
      <c r="C271" s="13"/>
      <c r="D271" s="14"/>
      <c r="E271" s="19" t="str">
        <f aca="false">IF($B271="","",IFERROR(INDEX(Inventario!$B$12:$B$211,MATCH($B271,Inventario!$A$12:$A$211,0)),"⚠ código no existe"))</f>
        <v/>
      </c>
      <c r="F271" s="15" t="str">
        <f aca="false">IF(OR($B271="",$C271="",$D271=""),"",N($D271)*INDEX(Config!$B$7:$K$7,MATCH($C271,Config!$B$6:$K$6,0)))</f>
        <v/>
      </c>
      <c r="G271" s="13"/>
    </row>
    <row r="272" customFormat="false" ht="15" hidden="false" customHeight="false" outlineLevel="0" collapsed="false">
      <c r="A272" s="13"/>
      <c r="B272" s="13"/>
      <c r="C272" s="13"/>
      <c r="D272" s="14"/>
      <c r="E272" s="19" t="str">
        <f aca="false">IF($B272="","",IFERROR(INDEX(Inventario!$B$12:$B$211,MATCH($B272,Inventario!$A$12:$A$211,0)),"⚠ código no existe"))</f>
        <v/>
      </c>
      <c r="F272" s="15" t="str">
        <f aca="false">IF(OR($B272="",$C272="",$D272=""),"",N($D272)*INDEX(Config!$B$7:$K$7,MATCH($C272,Config!$B$6:$K$6,0)))</f>
        <v/>
      </c>
      <c r="G272" s="13"/>
    </row>
    <row r="273" customFormat="false" ht="15" hidden="false" customHeight="false" outlineLevel="0" collapsed="false">
      <c r="A273" s="13"/>
      <c r="B273" s="13"/>
      <c r="C273" s="13"/>
      <c r="D273" s="14"/>
      <c r="E273" s="19" t="str">
        <f aca="false">IF($B273="","",IFERROR(INDEX(Inventario!$B$12:$B$211,MATCH($B273,Inventario!$A$12:$A$211,0)),"⚠ código no existe"))</f>
        <v/>
      </c>
      <c r="F273" s="15" t="str">
        <f aca="false">IF(OR($B273="",$C273="",$D273=""),"",N($D273)*INDEX(Config!$B$7:$K$7,MATCH($C273,Config!$B$6:$K$6,0)))</f>
        <v/>
      </c>
      <c r="G273" s="13"/>
    </row>
    <row r="274" customFormat="false" ht="15" hidden="false" customHeight="false" outlineLevel="0" collapsed="false">
      <c r="A274" s="13"/>
      <c r="B274" s="13"/>
      <c r="C274" s="13"/>
      <c r="D274" s="14"/>
      <c r="E274" s="19" t="str">
        <f aca="false">IF($B274="","",IFERROR(INDEX(Inventario!$B$12:$B$211,MATCH($B274,Inventario!$A$12:$A$211,0)),"⚠ código no existe"))</f>
        <v/>
      </c>
      <c r="F274" s="15" t="str">
        <f aca="false">IF(OR($B274="",$C274="",$D274=""),"",N($D274)*INDEX(Config!$B$7:$K$7,MATCH($C274,Config!$B$6:$K$6,0)))</f>
        <v/>
      </c>
      <c r="G274" s="13"/>
    </row>
    <row r="275" customFormat="false" ht="15" hidden="false" customHeight="false" outlineLevel="0" collapsed="false">
      <c r="A275" s="13"/>
      <c r="B275" s="13"/>
      <c r="C275" s="13"/>
      <c r="D275" s="14"/>
      <c r="E275" s="19" t="str">
        <f aca="false">IF($B275="","",IFERROR(INDEX(Inventario!$B$12:$B$211,MATCH($B275,Inventario!$A$12:$A$211,0)),"⚠ código no existe"))</f>
        <v/>
      </c>
      <c r="F275" s="15" t="str">
        <f aca="false">IF(OR($B275="",$C275="",$D275=""),"",N($D275)*INDEX(Config!$B$7:$K$7,MATCH($C275,Config!$B$6:$K$6,0)))</f>
        <v/>
      </c>
      <c r="G275" s="13"/>
    </row>
    <row r="276" customFormat="false" ht="15" hidden="false" customHeight="false" outlineLevel="0" collapsed="false">
      <c r="A276" s="13"/>
      <c r="B276" s="13"/>
      <c r="C276" s="13"/>
      <c r="D276" s="14"/>
      <c r="E276" s="19" t="str">
        <f aca="false">IF($B276="","",IFERROR(INDEX(Inventario!$B$12:$B$211,MATCH($B276,Inventario!$A$12:$A$211,0)),"⚠ código no existe"))</f>
        <v/>
      </c>
      <c r="F276" s="15" t="str">
        <f aca="false">IF(OR($B276="",$C276="",$D276=""),"",N($D276)*INDEX(Config!$B$7:$K$7,MATCH($C276,Config!$B$6:$K$6,0)))</f>
        <v/>
      </c>
      <c r="G276" s="13"/>
    </row>
    <row r="277" customFormat="false" ht="15" hidden="false" customHeight="false" outlineLevel="0" collapsed="false">
      <c r="A277" s="13"/>
      <c r="B277" s="13"/>
      <c r="C277" s="13"/>
      <c r="D277" s="14"/>
      <c r="E277" s="19" t="str">
        <f aca="false">IF($B277="","",IFERROR(INDEX(Inventario!$B$12:$B$211,MATCH($B277,Inventario!$A$12:$A$211,0)),"⚠ código no existe"))</f>
        <v/>
      </c>
      <c r="F277" s="15" t="str">
        <f aca="false">IF(OR($B277="",$C277="",$D277=""),"",N($D277)*INDEX(Config!$B$7:$K$7,MATCH($C277,Config!$B$6:$K$6,0)))</f>
        <v/>
      </c>
      <c r="G277" s="13"/>
    </row>
    <row r="278" customFormat="false" ht="15" hidden="false" customHeight="false" outlineLevel="0" collapsed="false">
      <c r="A278" s="13"/>
      <c r="B278" s="13"/>
      <c r="C278" s="13"/>
      <c r="D278" s="14"/>
      <c r="E278" s="19" t="str">
        <f aca="false">IF($B278="","",IFERROR(INDEX(Inventario!$B$12:$B$211,MATCH($B278,Inventario!$A$12:$A$211,0)),"⚠ código no existe"))</f>
        <v/>
      </c>
      <c r="F278" s="15" t="str">
        <f aca="false">IF(OR($B278="",$C278="",$D278=""),"",N($D278)*INDEX(Config!$B$7:$K$7,MATCH($C278,Config!$B$6:$K$6,0)))</f>
        <v/>
      </c>
      <c r="G278" s="13"/>
    </row>
    <row r="279" customFormat="false" ht="15" hidden="false" customHeight="false" outlineLevel="0" collapsed="false">
      <c r="A279" s="13"/>
      <c r="B279" s="13"/>
      <c r="C279" s="13"/>
      <c r="D279" s="14"/>
      <c r="E279" s="19" t="str">
        <f aca="false">IF($B279="","",IFERROR(INDEX(Inventario!$B$12:$B$211,MATCH($B279,Inventario!$A$12:$A$211,0)),"⚠ código no existe"))</f>
        <v/>
      </c>
      <c r="F279" s="15" t="str">
        <f aca="false">IF(OR($B279="",$C279="",$D279=""),"",N($D279)*INDEX(Config!$B$7:$K$7,MATCH($C279,Config!$B$6:$K$6,0)))</f>
        <v/>
      </c>
      <c r="G279" s="13"/>
    </row>
    <row r="280" customFormat="false" ht="15" hidden="false" customHeight="false" outlineLevel="0" collapsed="false">
      <c r="A280" s="13"/>
      <c r="B280" s="13"/>
      <c r="C280" s="13"/>
      <c r="D280" s="14"/>
      <c r="E280" s="19" t="str">
        <f aca="false">IF($B280="","",IFERROR(INDEX(Inventario!$B$12:$B$211,MATCH($B280,Inventario!$A$12:$A$211,0)),"⚠ código no existe"))</f>
        <v/>
      </c>
      <c r="F280" s="15" t="str">
        <f aca="false">IF(OR($B280="",$C280="",$D280=""),"",N($D280)*INDEX(Config!$B$7:$K$7,MATCH($C280,Config!$B$6:$K$6,0)))</f>
        <v/>
      </c>
      <c r="G280" s="13"/>
    </row>
    <row r="281" customFormat="false" ht="15" hidden="false" customHeight="false" outlineLevel="0" collapsed="false">
      <c r="A281" s="13"/>
      <c r="B281" s="13"/>
      <c r="C281" s="13"/>
      <c r="D281" s="14"/>
      <c r="E281" s="19" t="str">
        <f aca="false">IF($B281="","",IFERROR(INDEX(Inventario!$B$12:$B$211,MATCH($B281,Inventario!$A$12:$A$211,0)),"⚠ código no existe"))</f>
        <v/>
      </c>
      <c r="F281" s="15" t="str">
        <f aca="false">IF(OR($B281="",$C281="",$D281=""),"",N($D281)*INDEX(Config!$B$7:$K$7,MATCH($C281,Config!$B$6:$K$6,0)))</f>
        <v/>
      </c>
      <c r="G281" s="13"/>
    </row>
    <row r="282" customFormat="false" ht="15" hidden="false" customHeight="false" outlineLevel="0" collapsed="false">
      <c r="A282" s="13"/>
      <c r="B282" s="13"/>
      <c r="C282" s="13"/>
      <c r="D282" s="14"/>
      <c r="E282" s="19" t="str">
        <f aca="false">IF($B282="","",IFERROR(INDEX(Inventario!$B$12:$B$211,MATCH($B282,Inventario!$A$12:$A$211,0)),"⚠ código no existe"))</f>
        <v/>
      </c>
      <c r="F282" s="15" t="str">
        <f aca="false">IF(OR($B282="",$C282="",$D282=""),"",N($D282)*INDEX(Config!$B$7:$K$7,MATCH($C282,Config!$B$6:$K$6,0)))</f>
        <v/>
      </c>
      <c r="G282" s="13"/>
    </row>
    <row r="283" customFormat="false" ht="15" hidden="false" customHeight="false" outlineLevel="0" collapsed="false">
      <c r="A283" s="13"/>
      <c r="B283" s="13"/>
      <c r="C283" s="13"/>
      <c r="D283" s="14"/>
      <c r="E283" s="19" t="str">
        <f aca="false">IF($B283="","",IFERROR(INDEX(Inventario!$B$12:$B$211,MATCH($B283,Inventario!$A$12:$A$211,0)),"⚠ código no existe"))</f>
        <v/>
      </c>
      <c r="F283" s="15" t="str">
        <f aca="false">IF(OR($B283="",$C283="",$D283=""),"",N($D283)*INDEX(Config!$B$7:$K$7,MATCH($C283,Config!$B$6:$K$6,0)))</f>
        <v/>
      </c>
      <c r="G283" s="13"/>
    </row>
    <row r="284" customFormat="false" ht="15" hidden="false" customHeight="false" outlineLevel="0" collapsed="false">
      <c r="A284" s="13"/>
      <c r="B284" s="13"/>
      <c r="C284" s="13"/>
      <c r="D284" s="14"/>
      <c r="E284" s="19" t="str">
        <f aca="false">IF($B284="","",IFERROR(INDEX(Inventario!$B$12:$B$211,MATCH($B284,Inventario!$A$12:$A$211,0)),"⚠ código no existe"))</f>
        <v/>
      </c>
      <c r="F284" s="15" t="str">
        <f aca="false">IF(OR($B284="",$C284="",$D284=""),"",N($D284)*INDEX(Config!$B$7:$K$7,MATCH($C284,Config!$B$6:$K$6,0)))</f>
        <v/>
      </c>
      <c r="G284" s="13"/>
    </row>
    <row r="285" customFormat="false" ht="15" hidden="false" customHeight="false" outlineLevel="0" collapsed="false">
      <c r="A285" s="13"/>
      <c r="B285" s="13"/>
      <c r="C285" s="13"/>
      <c r="D285" s="14"/>
      <c r="E285" s="19" t="str">
        <f aca="false">IF($B285="","",IFERROR(INDEX(Inventario!$B$12:$B$211,MATCH($B285,Inventario!$A$12:$A$211,0)),"⚠ código no existe"))</f>
        <v/>
      </c>
      <c r="F285" s="15" t="str">
        <f aca="false">IF(OR($B285="",$C285="",$D285=""),"",N($D285)*INDEX(Config!$B$7:$K$7,MATCH($C285,Config!$B$6:$K$6,0)))</f>
        <v/>
      </c>
      <c r="G285" s="13"/>
    </row>
    <row r="286" customFormat="false" ht="15" hidden="false" customHeight="false" outlineLevel="0" collapsed="false">
      <c r="A286" s="13"/>
      <c r="B286" s="13"/>
      <c r="C286" s="13"/>
      <c r="D286" s="14"/>
      <c r="E286" s="19" t="str">
        <f aca="false">IF($B286="","",IFERROR(INDEX(Inventario!$B$12:$B$211,MATCH($B286,Inventario!$A$12:$A$211,0)),"⚠ código no existe"))</f>
        <v/>
      </c>
      <c r="F286" s="15" t="str">
        <f aca="false">IF(OR($B286="",$C286="",$D286=""),"",N($D286)*INDEX(Config!$B$7:$K$7,MATCH($C286,Config!$B$6:$K$6,0)))</f>
        <v/>
      </c>
      <c r="G286" s="13"/>
    </row>
    <row r="287" customFormat="false" ht="15" hidden="false" customHeight="false" outlineLevel="0" collapsed="false">
      <c r="A287" s="13"/>
      <c r="B287" s="13"/>
      <c r="C287" s="13"/>
      <c r="D287" s="14"/>
      <c r="E287" s="19" t="str">
        <f aca="false">IF($B287="","",IFERROR(INDEX(Inventario!$B$12:$B$211,MATCH($B287,Inventario!$A$12:$A$211,0)),"⚠ código no existe"))</f>
        <v/>
      </c>
      <c r="F287" s="15" t="str">
        <f aca="false">IF(OR($B287="",$C287="",$D287=""),"",N($D287)*INDEX(Config!$B$7:$K$7,MATCH($C287,Config!$B$6:$K$6,0)))</f>
        <v/>
      </c>
      <c r="G287" s="13"/>
    </row>
    <row r="288" customFormat="false" ht="15" hidden="false" customHeight="false" outlineLevel="0" collapsed="false">
      <c r="A288" s="13"/>
      <c r="B288" s="13"/>
      <c r="C288" s="13"/>
      <c r="D288" s="14"/>
      <c r="E288" s="19" t="str">
        <f aca="false">IF($B288="","",IFERROR(INDEX(Inventario!$B$12:$B$211,MATCH($B288,Inventario!$A$12:$A$211,0)),"⚠ código no existe"))</f>
        <v/>
      </c>
      <c r="F288" s="15" t="str">
        <f aca="false">IF(OR($B288="",$C288="",$D288=""),"",N($D288)*INDEX(Config!$B$7:$K$7,MATCH($C288,Config!$B$6:$K$6,0)))</f>
        <v/>
      </c>
      <c r="G288" s="13"/>
    </row>
    <row r="289" customFormat="false" ht="15" hidden="false" customHeight="false" outlineLevel="0" collapsed="false">
      <c r="A289" s="13"/>
      <c r="B289" s="13"/>
      <c r="C289" s="13"/>
      <c r="D289" s="14"/>
      <c r="E289" s="19" t="str">
        <f aca="false">IF($B289="","",IFERROR(INDEX(Inventario!$B$12:$B$211,MATCH($B289,Inventario!$A$12:$A$211,0)),"⚠ código no existe"))</f>
        <v/>
      </c>
      <c r="F289" s="15" t="str">
        <f aca="false">IF(OR($B289="",$C289="",$D289=""),"",N($D289)*INDEX(Config!$B$7:$K$7,MATCH($C289,Config!$B$6:$K$6,0)))</f>
        <v/>
      </c>
      <c r="G289" s="13"/>
    </row>
    <row r="290" customFormat="false" ht="15" hidden="false" customHeight="false" outlineLevel="0" collapsed="false">
      <c r="A290" s="13"/>
      <c r="B290" s="13"/>
      <c r="C290" s="13"/>
      <c r="D290" s="14"/>
      <c r="E290" s="19" t="str">
        <f aca="false">IF($B290="","",IFERROR(INDEX(Inventario!$B$12:$B$211,MATCH($B290,Inventario!$A$12:$A$211,0)),"⚠ código no existe"))</f>
        <v/>
      </c>
      <c r="F290" s="15" t="str">
        <f aca="false">IF(OR($B290="",$C290="",$D290=""),"",N($D290)*INDEX(Config!$B$7:$K$7,MATCH($C290,Config!$B$6:$K$6,0)))</f>
        <v/>
      </c>
      <c r="G290" s="13"/>
    </row>
    <row r="291" customFormat="false" ht="15" hidden="false" customHeight="false" outlineLevel="0" collapsed="false">
      <c r="A291" s="13"/>
      <c r="B291" s="13"/>
      <c r="C291" s="13"/>
      <c r="D291" s="14"/>
      <c r="E291" s="19" t="str">
        <f aca="false">IF($B291="","",IFERROR(INDEX(Inventario!$B$12:$B$211,MATCH($B291,Inventario!$A$12:$A$211,0)),"⚠ código no existe"))</f>
        <v/>
      </c>
      <c r="F291" s="15" t="str">
        <f aca="false">IF(OR($B291="",$C291="",$D291=""),"",N($D291)*INDEX(Config!$B$7:$K$7,MATCH($C291,Config!$B$6:$K$6,0)))</f>
        <v/>
      </c>
      <c r="G291" s="13"/>
    </row>
    <row r="292" customFormat="false" ht="15" hidden="false" customHeight="false" outlineLevel="0" collapsed="false">
      <c r="A292" s="13"/>
      <c r="B292" s="13"/>
      <c r="C292" s="13"/>
      <c r="D292" s="14"/>
      <c r="E292" s="19" t="str">
        <f aca="false">IF($B292="","",IFERROR(INDEX(Inventario!$B$12:$B$211,MATCH($B292,Inventario!$A$12:$A$211,0)),"⚠ código no existe"))</f>
        <v/>
      </c>
      <c r="F292" s="15" t="str">
        <f aca="false">IF(OR($B292="",$C292="",$D292=""),"",N($D292)*INDEX(Config!$B$7:$K$7,MATCH($C292,Config!$B$6:$K$6,0)))</f>
        <v/>
      </c>
      <c r="G292" s="13"/>
    </row>
    <row r="293" customFormat="false" ht="15" hidden="false" customHeight="false" outlineLevel="0" collapsed="false">
      <c r="A293" s="13"/>
      <c r="B293" s="13"/>
      <c r="C293" s="13"/>
      <c r="D293" s="14"/>
      <c r="E293" s="19" t="str">
        <f aca="false">IF($B293="","",IFERROR(INDEX(Inventario!$B$12:$B$211,MATCH($B293,Inventario!$A$12:$A$211,0)),"⚠ código no existe"))</f>
        <v/>
      </c>
      <c r="F293" s="15" t="str">
        <f aca="false">IF(OR($B293="",$C293="",$D293=""),"",N($D293)*INDEX(Config!$B$7:$K$7,MATCH($C293,Config!$B$6:$K$6,0)))</f>
        <v/>
      </c>
      <c r="G293" s="13"/>
    </row>
    <row r="294" customFormat="false" ht="15" hidden="false" customHeight="false" outlineLevel="0" collapsed="false">
      <c r="A294" s="13"/>
      <c r="B294" s="13"/>
      <c r="C294" s="13"/>
      <c r="D294" s="14"/>
      <c r="E294" s="19" t="str">
        <f aca="false">IF($B294="","",IFERROR(INDEX(Inventario!$B$12:$B$211,MATCH($B294,Inventario!$A$12:$A$211,0)),"⚠ código no existe"))</f>
        <v/>
      </c>
      <c r="F294" s="15" t="str">
        <f aca="false">IF(OR($B294="",$C294="",$D294=""),"",N($D294)*INDEX(Config!$B$7:$K$7,MATCH($C294,Config!$B$6:$K$6,0)))</f>
        <v/>
      </c>
      <c r="G294" s="13"/>
    </row>
    <row r="295" customFormat="false" ht="15" hidden="false" customHeight="false" outlineLevel="0" collapsed="false">
      <c r="A295" s="13"/>
      <c r="B295" s="13"/>
      <c r="C295" s="13"/>
      <c r="D295" s="14"/>
      <c r="E295" s="19" t="str">
        <f aca="false">IF($B295="","",IFERROR(INDEX(Inventario!$B$12:$B$211,MATCH($B295,Inventario!$A$12:$A$211,0)),"⚠ código no existe"))</f>
        <v/>
      </c>
      <c r="F295" s="15" t="str">
        <f aca="false">IF(OR($B295="",$C295="",$D295=""),"",N($D295)*INDEX(Config!$B$7:$K$7,MATCH($C295,Config!$B$6:$K$6,0)))</f>
        <v/>
      </c>
      <c r="G295" s="13"/>
    </row>
    <row r="296" customFormat="false" ht="15" hidden="false" customHeight="false" outlineLevel="0" collapsed="false">
      <c r="A296" s="13"/>
      <c r="B296" s="13"/>
      <c r="C296" s="13"/>
      <c r="D296" s="14"/>
      <c r="E296" s="19" t="str">
        <f aca="false">IF($B296="","",IFERROR(INDEX(Inventario!$B$12:$B$211,MATCH($B296,Inventario!$A$12:$A$211,0)),"⚠ código no existe"))</f>
        <v/>
      </c>
      <c r="F296" s="15" t="str">
        <f aca="false">IF(OR($B296="",$C296="",$D296=""),"",N($D296)*INDEX(Config!$B$7:$K$7,MATCH($C296,Config!$B$6:$K$6,0)))</f>
        <v/>
      </c>
      <c r="G296" s="13"/>
    </row>
    <row r="297" customFormat="false" ht="15" hidden="false" customHeight="false" outlineLevel="0" collapsed="false">
      <c r="A297" s="13"/>
      <c r="B297" s="13"/>
      <c r="C297" s="13"/>
      <c r="D297" s="14"/>
      <c r="E297" s="19" t="str">
        <f aca="false">IF($B297="","",IFERROR(INDEX(Inventario!$B$12:$B$211,MATCH($B297,Inventario!$A$12:$A$211,0)),"⚠ código no existe"))</f>
        <v/>
      </c>
      <c r="F297" s="15" t="str">
        <f aca="false">IF(OR($B297="",$C297="",$D297=""),"",N($D297)*INDEX(Config!$B$7:$K$7,MATCH($C297,Config!$B$6:$K$6,0)))</f>
        <v/>
      </c>
      <c r="G297" s="13"/>
    </row>
    <row r="298" customFormat="false" ht="15" hidden="false" customHeight="false" outlineLevel="0" collapsed="false">
      <c r="A298" s="13"/>
      <c r="B298" s="13"/>
      <c r="C298" s="13"/>
      <c r="D298" s="14"/>
      <c r="E298" s="19" t="str">
        <f aca="false">IF($B298="","",IFERROR(INDEX(Inventario!$B$12:$B$211,MATCH($B298,Inventario!$A$12:$A$211,0)),"⚠ código no existe"))</f>
        <v/>
      </c>
      <c r="F298" s="15" t="str">
        <f aca="false">IF(OR($B298="",$C298="",$D298=""),"",N($D298)*INDEX(Config!$B$7:$K$7,MATCH($C298,Config!$B$6:$K$6,0)))</f>
        <v/>
      </c>
      <c r="G298" s="13"/>
    </row>
    <row r="299" customFormat="false" ht="15" hidden="false" customHeight="false" outlineLevel="0" collapsed="false">
      <c r="A299" s="13"/>
      <c r="B299" s="13"/>
      <c r="C299" s="13"/>
      <c r="D299" s="14"/>
      <c r="E299" s="19" t="str">
        <f aca="false">IF($B299="","",IFERROR(INDEX(Inventario!$B$12:$B$211,MATCH($B299,Inventario!$A$12:$A$211,0)),"⚠ código no existe"))</f>
        <v/>
      </c>
      <c r="F299" s="15" t="str">
        <f aca="false">IF(OR($B299="",$C299="",$D299=""),"",N($D299)*INDEX(Config!$B$7:$K$7,MATCH($C299,Config!$B$6:$K$6,0)))</f>
        <v/>
      </c>
      <c r="G299" s="13"/>
    </row>
    <row r="300" customFormat="false" ht="15" hidden="false" customHeight="false" outlineLevel="0" collapsed="false">
      <c r="A300" s="13"/>
      <c r="B300" s="13"/>
      <c r="C300" s="13"/>
      <c r="D300" s="14"/>
      <c r="E300" s="19" t="str">
        <f aca="false">IF($B300="","",IFERROR(INDEX(Inventario!$B$12:$B$211,MATCH($B300,Inventario!$A$12:$A$211,0)),"⚠ código no existe"))</f>
        <v/>
      </c>
      <c r="F300" s="15" t="str">
        <f aca="false">IF(OR($B300="",$C300="",$D300=""),"",N($D300)*INDEX(Config!$B$7:$K$7,MATCH($C300,Config!$B$6:$K$6,0)))</f>
        <v/>
      </c>
      <c r="G300" s="13"/>
    </row>
    <row r="301" customFormat="false" ht="15" hidden="false" customHeight="false" outlineLevel="0" collapsed="false">
      <c r="A301" s="13"/>
      <c r="B301" s="13"/>
      <c r="C301" s="13"/>
      <c r="D301" s="14"/>
      <c r="E301" s="19" t="str">
        <f aca="false">IF($B301="","",IFERROR(INDEX(Inventario!$B$12:$B$211,MATCH($B301,Inventario!$A$12:$A$211,0)),"⚠ código no existe"))</f>
        <v/>
      </c>
      <c r="F301" s="15" t="str">
        <f aca="false">IF(OR($B301="",$C301="",$D301=""),"",N($D301)*INDEX(Config!$B$7:$K$7,MATCH($C301,Config!$B$6:$K$6,0)))</f>
        <v/>
      </c>
      <c r="G301" s="13"/>
    </row>
    <row r="302" customFormat="false" ht="15" hidden="false" customHeight="false" outlineLevel="0" collapsed="false">
      <c r="A302" s="13"/>
      <c r="B302" s="13"/>
      <c r="C302" s="13"/>
      <c r="D302" s="14"/>
      <c r="E302" s="19" t="str">
        <f aca="false">IF($B302="","",IFERROR(INDEX(Inventario!$B$12:$B$211,MATCH($B302,Inventario!$A$12:$A$211,0)),"⚠ código no existe"))</f>
        <v/>
      </c>
      <c r="F302" s="15" t="str">
        <f aca="false">IF(OR($B302="",$C302="",$D302=""),"",N($D302)*INDEX(Config!$B$7:$K$7,MATCH($C302,Config!$B$6:$K$6,0)))</f>
        <v/>
      </c>
      <c r="G302" s="13"/>
    </row>
    <row r="303" customFormat="false" ht="15" hidden="false" customHeight="false" outlineLevel="0" collapsed="false">
      <c r="A303" s="13"/>
      <c r="B303" s="13"/>
      <c r="C303" s="13"/>
      <c r="D303" s="14"/>
      <c r="E303" s="19" t="str">
        <f aca="false">IF($B303="","",IFERROR(INDEX(Inventario!$B$12:$B$211,MATCH($B303,Inventario!$A$12:$A$211,0)),"⚠ código no existe"))</f>
        <v/>
      </c>
      <c r="F303" s="15" t="str">
        <f aca="false">IF(OR($B303="",$C303="",$D303=""),"",N($D303)*INDEX(Config!$B$7:$K$7,MATCH($C303,Config!$B$6:$K$6,0)))</f>
        <v/>
      </c>
      <c r="G303" s="13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1" t="s">
        <v>60</v>
      </c>
      <c r="B3" s="11"/>
      <c r="C3" s="11"/>
      <c r="D3" s="11"/>
      <c r="E3" s="11"/>
      <c r="F3" s="11"/>
    </row>
    <row r="4" customFormat="false" ht="25.5" hidden="false" customHeight="true" outlineLevel="0" collapsed="false">
      <c r="A4" s="12" t="s">
        <v>61</v>
      </c>
      <c r="B4" s="12" t="s">
        <v>9</v>
      </c>
      <c r="C4" s="12" t="s">
        <v>10</v>
      </c>
      <c r="D4" s="12" t="s">
        <v>15</v>
      </c>
      <c r="E4" s="12" t="s">
        <v>16</v>
      </c>
      <c r="F4" s="12" t="s">
        <v>62</v>
      </c>
    </row>
    <row r="5" customFormat="false" ht="15" hidden="false" customHeight="false" outlineLevel="0" collapsed="false">
      <c r="A5" s="19" t="n">
        <f aca="false">IF($B5="","",1)</f>
        <v>1</v>
      </c>
      <c r="B5" s="19" t="str">
        <f aca="false">IFERROR(INDEX(Inventario!$A$12:$A$211,MATCH(1,Inventario!$L$12:$L$211,0)),"")</f>
        <v>P002</v>
      </c>
      <c r="C5" s="19" t="str">
        <f aca="false">IFERROR(INDEX(Inventario!$B$12:$B$211,MATCH(1,Inventario!$L$12:$L$211,0)),"")</f>
        <v>Aceite vegetal 1 L</v>
      </c>
      <c r="D5" s="15" t="n">
        <f aca="false">IFERROR(INDEX(Inventario!$G$12:$G$211,MATCH(1,Inventario!$L$12:$L$211,0)),"")</f>
        <v>12</v>
      </c>
      <c r="E5" s="15" t="n">
        <f aca="false">IFERROR(INDEX(Inventario!$H$12:$H$211,MATCH(1,Inventario!$L$12:$L$211,0)),"")</f>
        <v>15</v>
      </c>
      <c r="F5" s="20" t="n">
        <f aca="false">IF($B5="","",MAX(2*$E5-$D5,1))</f>
        <v>18</v>
      </c>
    </row>
    <row r="6" customFormat="false" ht="15" hidden="false" customHeight="false" outlineLevel="0" collapsed="false">
      <c r="A6" s="19" t="n">
        <f aca="false">IF($B6="","",2)</f>
        <v>2</v>
      </c>
      <c r="B6" s="19" t="str">
        <f aca="false">IFERROR(INDEX(Inventario!$A$12:$A$211,MATCH(2,Inventario!$L$12:$L$211,0)),"")</f>
        <v>P004</v>
      </c>
      <c r="C6" s="19" t="str">
        <f aca="false">IFERROR(INDEX(Inventario!$B$12:$B$211,MATCH(2,Inventario!$L$12:$L$211,0)),"")</f>
        <v>Leche entera 1 L</v>
      </c>
      <c r="D6" s="15" t="n">
        <f aca="false">IFERROR(INDEX(Inventario!$G$12:$G$211,MATCH(2,Inventario!$L$12:$L$211,0)),"")</f>
        <v>18</v>
      </c>
      <c r="E6" s="15" t="n">
        <f aca="false">IFERROR(INDEX(Inventario!$H$12:$H$211,MATCH(2,Inventario!$L$12:$L$211,0)),"")</f>
        <v>24</v>
      </c>
      <c r="F6" s="15" t="n">
        <f aca="false">IF($B6="","",MAX(2*$E6-$D6,1))</f>
        <v>30</v>
      </c>
    </row>
    <row r="7" customFormat="false" ht="15" hidden="false" customHeight="false" outlineLevel="0" collapsed="false">
      <c r="A7" s="19" t="n">
        <f aca="false">IF($B7="","",3)</f>
        <v>3</v>
      </c>
      <c r="B7" s="19" t="str">
        <f aca="false">IFERROR(INDEX(Inventario!$A$12:$A$211,MATCH(3,Inventario!$L$12:$L$211,0)),"")</f>
        <v>P007</v>
      </c>
      <c r="C7" s="19" t="str">
        <f aca="false">IFERROR(INDEX(Inventario!$B$12:$B$211,MATCH(3,Inventario!$L$12:$L$211,0)),"")</f>
        <v>Papel higiénico × 4</v>
      </c>
      <c r="D7" s="15" t="n">
        <f aca="false">IFERROR(INDEX(Inventario!$G$12:$G$211,MATCH(3,Inventario!$L$12:$L$211,0)),"")</f>
        <v>6</v>
      </c>
      <c r="E7" s="15" t="n">
        <f aca="false">IFERROR(INDEX(Inventario!$H$12:$H$211,MATCH(3,Inventario!$L$12:$L$211,0)),"")</f>
        <v>8</v>
      </c>
      <c r="F7" s="15" t="n">
        <f aca="false">IF($B7="","",MAX(2*$E7-$D7,1))</f>
        <v>10</v>
      </c>
    </row>
    <row r="8" customFormat="false" ht="15" hidden="false" customHeight="false" outlineLevel="0" collapsed="false">
      <c r="A8" s="19" t="str">
        <f aca="false">IF($B8="","",4)</f>
        <v/>
      </c>
      <c r="B8" s="19" t="str">
        <f aca="false">IFERROR(INDEX(Inventario!$A$12:$A$211,MATCH(4,Inventario!$L$12:$L$211,0)),"")</f>
        <v/>
      </c>
      <c r="C8" s="19" t="str">
        <f aca="false">IFERROR(INDEX(Inventario!$B$12:$B$211,MATCH(4,Inventario!$L$12:$L$211,0)),"")</f>
        <v/>
      </c>
      <c r="D8" s="15" t="str">
        <f aca="false">IFERROR(INDEX(Inventario!$G$12:$G$211,MATCH(4,Inventario!$L$12:$L$211,0)),"")</f>
        <v/>
      </c>
      <c r="E8" s="15" t="str">
        <f aca="false">IFERROR(INDEX(Inventario!$H$12:$H$211,MATCH(4,Inventario!$L$12:$L$211,0)),"")</f>
        <v/>
      </c>
      <c r="F8" s="15" t="str">
        <f aca="false">IF($B8="","",MAX(2*$E8-$D8,1))</f>
        <v/>
      </c>
    </row>
    <row r="9" customFormat="false" ht="15" hidden="false" customHeight="false" outlineLevel="0" collapsed="false">
      <c r="A9" s="19" t="str">
        <f aca="false">IF($B9="","",5)</f>
        <v/>
      </c>
      <c r="B9" s="19" t="str">
        <f aca="false">IFERROR(INDEX(Inventario!$A$12:$A$211,MATCH(5,Inventario!$L$12:$L$211,0)),"")</f>
        <v/>
      </c>
      <c r="C9" s="19" t="str">
        <f aca="false">IFERROR(INDEX(Inventario!$B$12:$B$211,MATCH(5,Inventario!$L$12:$L$211,0)),"")</f>
        <v/>
      </c>
      <c r="D9" s="15" t="str">
        <f aca="false">IFERROR(INDEX(Inventario!$G$12:$G$211,MATCH(5,Inventario!$L$12:$L$211,0)),"")</f>
        <v/>
      </c>
      <c r="E9" s="15" t="str">
        <f aca="false">IFERROR(INDEX(Inventario!$H$12:$H$211,MATCH(5,Inventario!$L$12:$L$211,0)),"")</f>
        <v/>
      </c>
      <c r="F9" s="15" t="str">
        <f aca="false">IF($B9="","",MAX(2*$E9-$D9,1))</f>
        <v/>
      </c>
    </row>
    <row r="10" customFormat="false" ht="15" hidden="false" customHeight="false" outlineLevel="0" collapsed="false">
      <c r="A10" s="19" t="str">
        <f aca="false">IF($B10="","",6)</f>
        <v/>
      </c>
      <c r="B10" s="19" t="str">
        <f aca="false">IFERROR(INDEX(Inventario!$A$12:$A$211,MATCH(6,Inventario!$L$12:$L$211,0)),"")</f>
        <v/>
      </c>
      <c r="C10" s="19" t="str">
        <f aca="false">IFERROR(INDEX(Inventario!$B$12:$B$211,MATCH(6,Inventario!$L$12:$L$211,0)),"")</f>
        <v/>
      </c>
      <c r="D10" s="15" t="str">
        <f aca="false">IFERROR(INDEX(Inventario!$G$12:$G$211,MATCH(6,Inventario!$L$12:$L$211,0)),"")</f>
        <v/>
      </c>
      <c r="E10" s="15" t="str">
        <f aca="false">IFERROR(INDEX(Inventario!$H$12:$H$211,MATCH(6,Inventario!$L$12:$L$211,0)),"")</f>
        <v/>
      </c>
      <c r="F10" s="15" t="str">
        <f aca="false">IF($B10="","",MAX(2*$E10-$D10,1))</f>
        <v/>
      </c>
    </row>
    <row r="11" customFormat="false" ht="15" hidden="false" customHeight="false" outlineLevel="0" collapsed="false">
      <c r="A11" s="19" t="str">
        <f aca="false">IF($B11="","",7)</f>
        <v/>
      </c>
      <c r="B11" s="19" t="str">
        <f aca="false">IFERROR(INDEX(Inventario!$A$12:$A$211,MATCH(7,Inventario!$L$12:$L$211,0)),"")</f>
        <v/>
      </c>
      <c r="C11" s="19" t="str">
        <f aca="false">IFERROR(INDEX(Inventario!$B$12:$B$211,MATCH(7,Inventario!$L$12:$L$211,0)),"")</f>
        <v/>
      </c>
      <c r="D11" s="15" t="str">
        <f aca="false">IFERROR(INDEX(Inventario!$G$12:$G$211,MATCH(7,Inventario!$L$12:$L$211,0)),"")</f>
        <v/>
      </c>
      <c r="E11" s="15" t="str">
        <f aca="false">IFERROR(INDEX(Inventario!$H$12:$H$211,MATCH(7,Inventario!$L$12:$L$211,0)),"")</f>
        <v/>
      </c>
      <c r="F11" s="15" t="str">
        <f aca="false">IF($B11="","",MAX(2*$E11-$D11,1))</f>
        <v/>
      </c>
    </row>
    <row r="12" customFormat="false" ht="15" hidden="false" customHeight="false" outlineLevel="0" collapsed="false">
      <c r="A12" s="19" t="str">
        <f aca="false">IF($B12="","",8)</f>
        <v/>
      </c>
      <c r="B12" s="19" t="str">
        <f aca="false">IFERROR(INDEX(Inventario!$A$12:$A$211,MATCH(8,Inventario!$L$12:$L$211,0)),"")</f>
        <v/>
      </c>
      <c r="C12" s="19" t="str">
        <f aca="false">IFERROR(INDEX(Inventario!$B$12:$B$211,MATCH(8,Inventario!$L$12:$L$211,0)),"")</f>
        <v/>
      </c>
      <c r="D12" s="15" t="str">
        <f aca="false">IFERROR(INDEX(Inventario!$G$12:$G$211,MATCH(8,Inventario!$L$12:$L$211,0)),"")</f>
        <v/>
      </c>
      <c r="E12" s="15" t="str">
        <f aca="false">IFERROR(INDEX(Inventario!$H$12:$H$211,MATCH(8,Inventario!$L$12:$L$211,0)),"")</f>
        <v/>
      </c>
      <c r="F12" s="15" t="str">
        <f aca="false">IF($B12="","",MAX(2*$E12-$D12,1))</f>
        <v/>
      </c>
    </row>
    <row r="13" customFormat="false" ht="15" hidden="false" customHeight="false" outlineLevel="0" collapsed="false">
      <c r="A13" s="19" t="str">
        <f aca="false">IF($B13="","",9)</f>
        <v/>
      </c>
      <c r="B13" s="19" t="str">
        <f aca="false">IFERROR(INDEX(Inventario!$A$12:$A$211,MATCH(9,Inventario!$L$12:$L$211,0)),"")</f>
        <v/>
      </c>
      <c r="C13" s="19" t="str">
        <f aca="false">IFERROR(INDEX(Inventario!$B$12:$B$211,MATCH(9,Inventario!$L$12:$L$211,0)),"")</f>
        <v/>
      </c>
      <c r="D13" s="15" t="str">
        <f aca="false">IFERROR(INDEX(Inventario!$G$12:$G$211,MATCH(9,Inventario!$L$12:$L$211,0)),"")</f>
        <v/>
      </c>
      <c r="E13" s="15" t="str">
        <f aca="false">IFERROR(INDEX(Inventario!$H$12:$H$211,MATCH(9,Inventario!$L$12:$L$211,0)),"")</f>
        <v/>
      </c>
      <c r="F13" s="15" t="str">
        <f aca="false">IF($B13="","",MAX(2*$E13-$D13,1))</f>
        <v/>
      </c>
    </row>
    <row r="14" customFormat="false" ht="15" hidden="false" customHeight="false" outlineLevel="0" collapsed="false">
      <c r="A14" s="19" t="str">
        <f aca="false">IF($B14="","",10)</f>
        <v/>
      </c>
      <c r="B14" s="19" t="str">
        <f aca="false">IFERROR(INDEX(Inventario!$A$12:$A$211,MATCH(10,Inventario!$L$12:$L$211,0)),"")</f>
        <v/>
      </c>
      <c r="C14" s="19" t="str">
        <f aca="false">IFERROR(INDEX(Inventario!$B$12:$B$211,MATCH(10,Inventario!$L$12:$L$211,0)),"")</f>
        <v/>
      </c>
      <c r="D14" s="15" t="str">
        <f aca="false">IFERROR(INDEX(Inventario!$G$12:$G$211,MATCH(10,Inventario!$L$12:$L$211,0)),"")</f>
        <v/>
      </c>
      <c r="E14" s="15" t="str">
        <f aca="false">IFERROR(INDEX(Inventario!$H$12:$H$211,MATCH(10,Inventario!$L$12:$L$211,0)),"")</f>
        <v/>
      </c>
      <c r="F14" s="15" t="str">
        <f aca="false">IF($B14="","",MAX(2*$E14-$D14,1))</f>
        <v/>
      </c>
    </row>
    <row r="15" customFormat="false" ht="15" hidden="false" customHeight="false" outlineLevel="0" collapsed="false">
      <c r="A15" s="19" t="str">
        <f aca="false">IF($B15="","",11)</f>
        <v/>
      </c>
      <c r="B15" s="19" t="str">
        <f aca="false">IFERROR(INDEX(Inventario!$A$12:$A$211,MATCH(11,Inventario!$L$12:$L$211,0)),"")</f>
        <v/>
      </c>
      <c r="C15" s="19" t="str">
        <f aca="false">IFERROR(INDEX(Inventario!$B$12:$B$211,MATCH(11,Inventario!$L$12:$L$211,0)),"")</f>
        <v/>
      </c>
      <c r="D15" s="15" t="str">
        <f aca="false">IFERROR(INDEX(Inventario!$G$12:$G$211,MATCH(11,Inventario!$L$12:$L$211,0)),"")</f>
        <v/>
      </c>
      <c r="E15" s="15" t="str">
        <f aca="false">IFERROR(INDEX(Inventario!$H$12:$H$211,MATCH(11,Inventario!$L$12:$L$211,0)),"")</f>
        <v/>
      </c>
      <c r="F15" s="15" t="str">
        <f aca="false">IF($B15="","",MAX(2*$E15-$D15,1))</f>
        <v/>
      </c>
    </row>
    <row r="16" customFormat="false" ht="15" hidden="false" customHeight="false" outlineLevel="0" collapsed="false">
      <c r="A16" s="19" t="str">
        <f aca="false">IF($B16="","",12)</f>
        <v/>
      </c>
      <c r="B16" s="19" t="str">
        <f aca="false">IFERROR(INDEX(Inventario!$A$12:$A$211,MATCH(12,Inventario!$L$12:$L$211,0)),"")</f>
        <v/>
      </c>
      <c r="C16" s="19" t="str">
        <f aca="false">IFERROR(INDEX(Inventario!$B$12:$B$211,MATCH(12,Inventario!$L$12:$L$211,0)),"")</f>
        <v/>
      </c>
      <c r="D16" s="15" t="str">
        <f aca="false">IFERROR(INDEX(Inventario!$G$12:$G$211,MATCH(12,Inventario!$L$12:$L$211,0)),"")</f>
        <v/>
      </c>
      <c r="E16" s="15" t="str">
        <f aca="false">IFERROR(INDEX(Inventario!$H$12:$H$211,MATCH(12,Inventario!$L$12:$L$211,0)),"")</f>
        <v/>
      </c>
      <c r="F16" s="15" t="str">
        <f aca="false">IF($B16="","",MAX(2*$E16-$D16,1))</f>
        <v/>
      </c>
    </row>
    <row r="17" customFormat="false" ht="15" hidden="false" customHeight="false" outlineLevel="0" collapsed="false">
      <c r="A17" s="19" t="str">
        <f aca="false">IF($B17="","",13)</f>
        <v/>
      </c>
      <c r="B17" s="19" t="str">
        <f aca="false">IFERROR(INDEX(Inventario!$A$12:$A$211,MATCH(13,Inventario!$L$12:$L$211,0)),"")</f>
        <v/>
      </c>
      <c r="C17" s="19" t="str">
        <f aca="false">IFERROR(INDEX(Inventario!$B$12:$B$211,MATCH(13,Inventario!$L$12:$L$211,0)),"")</f>
        <v/>
      </c>
      <c r="D17" s="15" t="str">
        <f aca="false">IFERROR(INDEX(Inventario!$G$12:$G$211,MATCH(13,Inventario!$L$12:$L$211,0)),"")</f>
        <v/>
      </c>
      <c r="E17" s="15" t="str">
        <f aca="false">IFERROR(INDEX(Inventario!$H$12:$H$211,MATCH(13,Inventario!$L$12:$L$211,0)),"")</f>
        <v/>
      </c>
      <c r="F17" s="15" t="str">
        <f aca="false">IF($B17="","",MAX(2*$E17-$D17,1))</f>
        <v/>
      </c>
    </row>
    <row r="18" customFormat="false" ht="15" hidden="false" customHeight="false" outlineLevel="0" collapsed="false">
      <c r="A18" s="19" t="str">
        <f aca="false">IF($B18="","",14)</f>
        <v/>
      </c>
      <c r="B18" s="19" t="str">
        <f aca="false">IFERROR(INDEX(Inventario!$A$12:$A$211,MATCH(14,Inventario!$L$12:$L$211,0)),"")</f>
        <v/>
      </c>
      <c r="C18" s="19" t="str">
        <f aca="false">IFERROR(INDEX(Inventario!$B$12:$B$211,MATCH(14,Inventario!$L$12:$L$211,0)),"")</f>
        <v/>
      </c>
      <c r="D18" s="15" t="str">
        <f aca="false">IFERROR(INDEX(Inventario!$G$12:$G$211,MATCH(14,Inventario!$L$12:$L$211,0)),"")</f>
        <v/>
      </c>
      <c r="E18" s="15" t="str">
        <f aca="false">IFERROR(INDEX(Inventario!$H$12:$H$211,MATCH(14,Inventario!$L$12:$L$211,0)),"")</f>
        <v/>
      </c>
      <c r="F18" s="15" t="str">
        <f aca="false">IF($B18="","",MAX(2*$E18-$D18,1))</f>
        <v/>
      </c>
    </row>
    <row r="19" customFormat="false" ht="15" hidden="false" customHeight="false" outlineLevel="0" collapsed="false">
      <c r="A19" s="19" t="str">
        <f aca="false">IF($B19="","",15)</f>
        <v/>
      </c>
      <c r="B19" s="19" t="str">
        <f aca="false">IFERROR(INDEX(Inventario!$A$12:$A$211,MATCH(15,Inventario!$L$12:$L$211,0)),"")</f>
        <v/>
      </c>
      <c r="C19" s="19" t="str">
        <f aca="false">IFERROR(INDEX(Inventario!$B$12:$B$211,MATCH(15,Inventario!$L$12:$L$211,0)),"")</f>
        <v/>
      </c>
      <c r="D19" s="15" t="str">
        <f aca="false">IFERROR(INDEX(Inventario!$G$12:$G$211,MATCH(15,Inventario!$L$12:$L$211,0)),"")</f>
        <v/>
      </c>
      <c r="E19" s="15" t="str">
        <f aca="false">IFERROR(INDEX(Inventario!$H$12:$H$211,MATCH(15,Inventario!$L$12:$L$211,0)),"")</f>
        <v/>
      </c>
      <c r="F19" s="15" t="str">
        <f aca="false">IF($B19="","",MAX(2*$E19-$D19,1))</f>
        <v/>
      </c>
    </row>
    <row r="20" customFormat="false" ht="15" hidden="false" customHeight="false" outlineLevel="0" collapsed="false">
      <c r="A20" s="19" t="str">
        <f aca="false">IF($B20="","",16)</f>
        <v/>
      </c>
      <c r="B20" s="19" t="str">
        <f aca="false">IFERROR(INDEX(Inventario!$A$12:$A$211,MATCH(16,Inventario!$L$12:$L$211,0)),"")</f>
        <v/>
      </c>
      <c r="C20" s="19" t="str">
        <f aca="false">IFERROR(INDEX(Inventario!$B$12:$B$211,MATCH(16,Inventario!$L$12:$L$211,0)),"")</f>
        <v/>
      </c>
      <c r="D20" s="15" t="str">
        <f aca="false">IFERROR(INDEX(Inventario!$G$12:$G$211,MATCH(16,Inventario!$L$12:$L$211,0)),"")</f>
        <v/>
      </c>
      <c r="E20" s="15" t="str">
        <f aca="false">IFERROR(INDEX(Inventario!$H$12:$H$211,MATCH(16,Inventario!$L$12:$L$211,0)),"")</f>
        <v/>
      </c>
      <c r="F20" s="15" t="str">
        <f aca="false">IF($B20="","",MAX(2*$E20-$D20,1))</f>
        <v/>
      </c>
    </row>
    <row r="21" customFormat="false" ht="15" hidden="false" customHeight="false" outlineLevel="0" collapsed="false">
      <c r="A21" s="19" t="str">
        <f aca="false">IF($B21="","",17)</f>
        <v/>
      </c>
      <c r="B21" s="19" t="str">
        <f aca="false">IFERROR(INDEX(Inventario!$A$12:$A$211,MATCH(17,Inventario!$L$12:$L$211,0)),"")</f>
        <v/>
      </c>
      <c r="C21" s="19" t="str">
        <f aca="false">IFERROR(INDEX(Inventario!$B$12:$B$211,MATCH(17,Inventario!$L$12:$L$211,0)),"")</f>
        <v/>
      </c>
      <c r="D21" s="15" t="str">
        <f aca="false">IFERROR(INDEX(Inventario!$G$12:$G$211,MATCH(17,Inventario!$L$12:$L$211,0)),"")</f>
        <v/>
      </c>
      <c r="E21" s="15" t="str">
        <f aca="false">IFERROR(INDEX(Inventario!$H$12:$H$211,MATCH(17,Inventario!$L$12:$L$211,0)),"")</f>
        <v/>
      </c>
      <c r="F21" s="15" t="str">
        <f aca="false">IF($B21="","",MAX(2*$E21-$D21,1))</f>
        <v/>
      </c>
    </row>
    <row r="22" customFormat="false" ht="15" hidden="false" customHeight="false" outlineLevel="0" collapsed="false">
      <c r="A22" s="19" t="str">
        <f aca="false">IF($B22="","",18)</f>
        <v/>
      </c>
      <c r="B22" s="19" t="str">
        <f aca="false">IFERROR(INDEX(Inventario!$A$12:$A$211,MATCH(18,Inventario!$L$12:$L$211,0)),"")</f>
        <v/>
      </c>
      <c r="C22" s="19" t="str">
        <f aca="false">IFERROR(INDEX(Inventario!$B$12:$B$211,MATCH(18,Inventario!$L$12:$L$211,0)),"")</f>
        <v/>
      </c>
      <c r="D22" s="15" t="str">
        <f aca="false">IFERROR(INDEX(Inventario!$G$12:$G$211,MATCH(18,Inventario!$L$12:$L$211,0)),"")</f>
        <v/>
      </c>
      <c r="E22" s="15" t="str">
        <f aca="false">IFERROR(INDEX(Inventario!$H$12:$H$211,MATCH(18,Inventario!$L$12:$L$211,0)),"")</f>
        <v/>
      </c>
      <c r="F22" s="15" t="str">
        <f aca="false">IF($B22="","",MAX(2*$E22-$D22,1))</f>
        <v/>
      </c>
    </row>
    <row r="23" customFormat="false" ht="15" hidden="false" customHeight="false" outlineLevel="0" collapsed="false">
      <c r="A23" s="19" t="str">
        <f aca="false">IF($B23="","",19)</f>
        <v/>
      </c>
      <c r="B23" s="19" t="str">
        <f aca="false">IFERROR(INDEX(Inventario!$A$12:$A$211,MATCH(19,Inventario!$L$12:$L$211,0)),"")</f>
        <v/>
      </c>
      <c r="C23" s="19" t="str">
        <f aca="false">IFERROR(INDEX(Inventario!$B$12:$B$211,MATCH(19,Inventario!$L$12:$L$211,0)),"")</f>
        <v/>
      </c>
      <c r="D23" s="15" t="str">
        <f aca="false">IFERROR(INDEX(Inventario!$G$12:$G$211,MATCH(19,Inventario!$L$12:$L$211,0)),"")</f>
        <v/>
      </c>
      <c r="E23" s="15" t="str">
        <f aca="false">IFERROR(INDEX(Inventario!$H$12:$H$211,MATCH(19,Inventario!$L$12:$L$211,0)),"")</f>
        <v/>
      </c>
      <c r="F23" s="15" t="str">
        <f aca="false">IF($B23="","",MAX(2*$E23-$D23,1))</f>
        <v/>
      </c>
    </row>
    <row r="24" customFormat="false" ht="15" hidden="false" customHeight="false" outlineLevel="0" collapsed="false">
      <c r="A24" s="19" t="str">
        <f aca="false">IF($B24="","",20)</f>
        <v/>
      </c>
      <c r="B24" s="19" t="str">
        <f aca="false">IFERROR(INDEX(Inventario!$A$12:$A$211,MATCH(20,Inventario!$L$12:$L$211,0)),"")</f>
        <v/>
      </c>
      <c r="C24" s="19" t="str">
        <f aca="false">IFERROR(INDEX(Inventario!$B$12:$B$211,MATCH(20,Inventario!$L$12:$L$211,0)),"")</f>
        <v/>
      </c>
      <c r="D24" s="15" t="str">
        <f aca="false">IFERROR(INDEX(Inventario!$G$12:$G$211,MATCH(20,Inventario!$L$12:$L$211,0)),"")</f>
        <v/>
      </c>
      <c r="E24" s="15" t="str">
        <f aca="false">IFERROR(INDEX(Inventario!$H$12:$H$211,MATCH(20,Inventario!$L$12:$L$211,0)),"")</f>
        <v/>
      </c>
      <c r="F24" s="15" t="str">
        <f aca="false">IF($B24="","",MAX(2*$E24-$D24,1))</f>
        <v/>
      </c>
    </row>
    <row r="25" customFormat="false" ht="15" hidden="false" customHeight="false" outlineLevel="0" collapsed="false">
      <c r="A25" s="19" t="str">
        <f aca="false">IF($B25="","",21)</f>
        <v/>
      </c>
      <c r="B25" s="19" t="str">
        <f aca="false">IFERROR(INDEX(Inventario!$A$12:$A$211,MATCH(21,Inventario!$L$12:$L$211,0)),"")</f>
        <v/>
      </c>
      <c r="C25" s="19" t="str">
        <f aca="false">IFERROR(INDEX(Inventario!$B$12:$B$211,MATCH(21,Inventario!$L$12:$L$211,0)),"")</f>
        <v/>
      </c>
      <c r="D25" s="15" t="str">
        <f aca="false">IFERROR(INDEX(Inventario!$G$12:$G$211,MATCH(21,Inventario!$L$12:$L$211,0)),"")</f>
        <v/>
      </c>
      <c r="E25" s="15" t="str">
        <f aca="false">IFERROR(INDEX(Inventario!$H$12:$H$211,MATCH(21,Inventario!$L$12:$L$211,0)),"")</f>
        <v/>
      </c>
      <c r="F25" s="15" t="str">
        <f aca="false">IF($B25="","",MAX(2*$E25-$D25,1))</f>
        <v/>
      </c>
    </row>
    <row r="26" customFormat="false" ht="15" hidden="false" customHeight="false" outlineLevel="0" collapsed="false">
      <c r="A26" s="19" t="str">
        <f aca="false">IF($B26="","",22)</f>
        <v/>
      </c>
      <c r="B26" s="19" t="str">
        <f aca="false">IFERROR(INDEX(Inventario!$A$12:$A$211,MATCH(22,Inventario!$L$12:$L$211,0)),"")</f>
        <v/>
      </c>
      <c r="C26" s="19" t="str">
        <f aca="false">IFERROR(INDEX(Inventario!$B$12:$B$211,MATCH(22,Inventario!$L$12:$L$211,0)),"")</f>
        <v/>
      </c>
      <c r="D26" s="15" t="str">
        <f aca="false">IFERROR(INDEX(Inventario!$G$12:$G$211,MATCH(22,Inventario!$L$12:$L$211,0)),"")</f>
        <v/>
      </c>
      <c r="E26" s="15" t="str">
        <f aca="false">IFERROR(INDEX(Inventario!$H$12:$H$211,MATCH(22,Inventario!$L$12:$L$211,0)),"")</f>
        <v/>
      </c>
      <c r="F26" s="15" t="str">
        <f aca="false">IF($B26="","",MAX(2*$E26-$D26,1))</f>
        <v/>
      </c>
    </row>
    <row r="27" customFormat="false" ht="15" hidden="false" customHeight="false" outlineLevel="0" collapsed="false">
      <c r="A27" s="19" t="str">
        <f aca="false">IF($B27="","",23)</f>
        <v/>
      </c>
      <c r="B27" s="19" t="str">
        <f aca="false">IFERROR(INDEX(Inventario!$A$12:$A$211,MATCH(23,Inventario!$L$12:$L$211,0)),"")</f>
        <v/>
      </c>
      <c r="C27" s="19" t="str">
        <f aca="false">IFERROR(INDEX(Inventario!$B$12:$B$211,MATCH(23,Inventario!$L$12:$L$211,0)),"")</f>
        <v/>
      </c>
      <c r="D27" s="15" t="str">
        <f aca="false">IFERROR(INDEX(Inventario!$G$12:$G$211,MATCH(23,Inventario!$L$12:$L$211,0)),"")</f>
        <v/>
      </c>
      <c r="E27" s="15" t="str">
        <f aca="false">IFERROR(INDEX(Inventario!$H$12:$H$211,MATCH(23,Inventario!$L$12:$L$211,0)),"")</f>
        <v/>
      </c>
      <c r="F27" s="15" t="str">
        <f aca="false">IF($B27="","",MAX(2*$E27-$D27,1))</f>
        <v/>
      </c>
    </row>
    <row r="28" customFormat="false" ht="15" hidden="false" customHeight="false" outlineLevel="0" collapsed="false">
      <c r="A28" s="19" t="str">
        <f aca="false">IF($B28="","",24)</f>
        <v/>
      </c>
      <c r="B28" s="19" t="str">
        <f aca="false">IFERROR(INDEX(Inventario!$A$12:$A$211,MATCH(24,Inventario!$L$12:$L$211,0)),"")</f>
        <v/>
      </c>
      <c r="C28" s="19" t="str">
        <f aca="false">IFERROR(INDEX(Inventario!$B$12:$B$211,MATCH(24,Inventario!$L$12:$L$211,0)),"")</f>
        <v/>
      </c>
      <c r="D28" s="15" t="str">
        <f aca="false">IFERROR(INDEX(Inventario!$G$12:$G$211,MATCH(24,Inventario!$L$12:$L$211,0)),"")</f>
        <v/>
      </c>
      <c r="E28" s="15" t="str">
        <f aca="false">IFERROR(INDEX(Inventario!$H$12:$H$211,MATCH(24,Inventario!$L$12:$L$211,0)),"")</f>
        <v/>
      </c>
      <c r="F28" s="15" t="str">
        <f aca="false">IF($B28="","",MAX(2*$E28-$D28,1))</f>
        <v/>
      </c>
    </row>
    <row r="29" customFormat="false" ht="15" hidden="false" customHeight="false" outlineLevel="0" collapsed="false">
      <c r="A29" s="19" t="str">
        <f aca="false">IF($B29="","",25)</f>
        <v/>
      </c>
      <c r="B29" s="19" t="str">
        <f aca="false">IFERROR(INDEX(Inventario!$A$12:$A$211,MATCH(25,Inventario!$L$12:$L$211,0)),"")</f>
        <v/>
      </c>
      <c r="C29" s="19" t="str">
        <f aca="false">IFERROR(INDEX(Inventario!$B$12:$B$211,MATCH(25,Inventario!$L$12:$L$211,0)),"")</f>
        <v/>
      </c>
      <c r="D29" s="15" t="str">
        <f aca="false">IFERROR(INDEX(Inventario!$G$12:$G$211,MATCH(25,Inventario!$L$12:$L$211,0)),"")</f>
        <v/>
      </c>
      <c r="E29" s="15" t="str">
        <f aca="false">IFERROR(INDEX(Inventario!$H$12:$H$211,MATCH(25,Inventario!$L$12:$L$211,0)),"")</f>
        <v/>
      </c>
      <c r="F29" s="15" t="str">
        <f aca="false">IF($B29="","",MAX(2*$E29-$D29,1))</f>
        <v/>
      </c>
    </row>
    <row r="30" customFormat="false" ht="15" hidden="false" customHeight="false" outlineLevel="0" collapsed="false">
      <c r="A30" s="19" t="str">
        <f aca="false">IF($B30="","",26)</f>
        <v/>
      </c>
      <c r="B30" s="19" t="str">
        <f aca="false">IFERROR(INDEX(Inventario!$A$12:$A$211,MATCH(26,Inventario!$L$12:$L$211,0)),"")</f>
        <v/>
      </c>
      <c r="C30" s="19" t="str">
        <f aca="false">IFERROR(INDEX(Inventario!$B$12:$B$211,MATCH(26,Inventario!$L$12:$L$211,0)),"")</f>
        <v/>
      </c>
      <c r="D30" s="15" t="str">
        <f aca="false">IFERROR(INDEX(Inventario!$G$12:$G$211,MATCH(26,Inventario!$L$12:$L$211,0)),"")</f>
        <v/>
      </c>
      <c r="E30" s="15" t="str">
        <f aca="false">IFERROR(INDEX(Inventario!$H$12:$H$211,MATCH(26,Inventario!$L$12:$L$211,0)),"")</f>
        <v/>
      </c>
      <c r="F30" s="15" t="str">
        <f aca="false">IF($B30="","",MAX(2*$E30-$D30,1))</f>
        <v/>
      </c>
    </row>
    <row r="31" customFormat="false" ht="15" hidden="false" customHeight="false" outlineLevel="0" collapsed="false">
      <c r="A31" s="19" t="str">
        <f aca="false">IF($B31="","",27)</f>
        <v/>
      </c>
      <c r="B31" s="19" t="str">
        <f aca="false">IFERROR(INDEX(Inventario!$A$12:$A$211,MATCH(27,Inventario!$L$12:$L$211,0)),"")</f>
        <v/>
      </c>
      <c r="C31" s="19" t="str">
        <f aca="false">IFERROR(INDEX(Inventario!$B$12:$B$211,MATCH(27,Inventario!$L$12:$L$211,0)),"")</f>
        <v/>
      </c>
      <c r="D31" s="15" t="str">
        <f aca="false">IFERROR(INDEX(Inventario!$G$12:$G$211,MATCH(27,Inventario!$L$12:$L$211,0)),"")</f>
        <v/>
      </c>
      <c r="E31" s="15" t="str">
        <f aca="false">IFERROR(INDEX(Inventario!$H$12:$H$211,MATCH(27,Inventario!$L$12:$L$211,0)),"")</f>
        <v/>
      </c>
      <c r="F31" s="15" t="str">
        <f aca="false">IF($B31="","",MAX(2*$E31-$D31,1))</f>
        <v/>
      </c>
    </row>
    <row r="32" customFormat="false" ht="15" hidden="false" customHeight="false" outlineLevel="0" collapsed="false">
      <c r="A32" s="19" t="str">
        <f aca="false">IF($B32="","",28)</f>
        <v/>
      </c>
      <c r="B32" s="19" t="str">
        <f aca="false">IFERROR(INDEX(Inventario!$A$12:$A$211,MATCH(28,Inventario!$L$12:$L$211,0)),"")</f>
        <v/>
      </c>
      <c r="C32" s="19" t="str">
        <f aca="false">IFERROR(INDEX(Inventario!$B$12:$B$211,MATCH(28,Inventario!$L$12:$L$211,0)),"")</f>
        <v/>
      </c>
      <c r="D32" s="15" t="str">
        <f aca="false">IFERROR(INDEX(Inventario!$G$12:$G$211,MATCH(28,Inventario!$L$12:$L$211,0)),"")</f>
        <v/>
      </c>
      <c r="E32" s="15" t="str">
        <f aca="false">IFERROR(INDEX(Inventario!$H$12:$H$211,MATCH(28,Inventario!$L$12:$L$211,0)),"")</f>
        <v/>
      </c>
      <c r="F32" s="15" t="str">
        <f aca="false">IF($B32="","",MAX(2*$E32-$D32,1))</f>
        <v/>
      </c>
    </row>
    <row r="33" customFormat="false" ht="15" hidden="false" customHeight="false" outlineLevel="0" collapsed="false">
      <c r="A33" s="19" t="str">
        <f aca="false">IF($B33="","",29)</f>
        <v/>
      </c>
      <c r="B33" s="19" t="str">
        <f aca="false">IFERROR(INDEX(Inventario!$A$12:$A$211,MATCH(29,Inventario!$L$12:$L$211,0)),"")</f>
        <v/>
      </c>
      <c r="C33" s="19" t="str">
        <f aca="false">IFERROR(INDEX(Inventario!$B$12:$B$211,MATCH(29,Inventario!$L$12:$L$211,0)),"")</f>
        <v/>
      </c>
      <c r="D33" s="15" t="str">
        <f aca="false">IFERROR(INDEX(Inventario!$G$12:$G$211,MATCH(29,Inventario!$L$12:$L$211,0)),"")</f>
        <v/>
      </c>
      <c r="E33" s="15" t="str">
        <f aca="false">IFERROR(INDEX(Inventario!$H$12:$H$211,MATCH(29,Inventario!$L$12:$L$211,0)),"")</f>
        <v/>
      </c>
      <c r="F33" s="15" t="str">
        <f aca="false">IF($B33="","",MAX(2*$E33-$D33,1))</f>
        <v/>
      </c>
    </row>
    <row r="34" customFormat="false" ht="15" hidden="false" customHeight="false" outlineLevel="0" collapsed="false">
      <c r="A34" s="19" t="str">
        <f aca="false">IF($B34="","",30)</f>
        <v/>
      </c>
      <c r="B34" s="19" t="str">
        <f aca="false">IFERROR(INDEX(Inventario!$A$12:$A$211,MATCH(30,Inventario!$L$12:$L$211,0)),"")</f>
        <v/>
      </c>
      <c r="C34" s="19" t="str">
        <f aca="false">IFERROR(INDEX(Inventario!$B$12:$B$211,MATCH(30,Inventario!$L$12:$L$211,0)),"")</f>
        <v/>
      </c>
      <c r="D34" s="15" t="str">
        <f aca="false">IFERROR(INDEX(Inventario!$G$12:$G$211,MATCH(30,Inventario!$L$12:$L$211,0)),"")</f>
        <v/>
      </c>
      <c r="E34" s="15" t="str">
        <f aca="false">IFERROR(INDEX(Inventario!$H$12:$H$211,MATCH(30,Inventario!$L$12:$L$211,0)),"")</f>
        <v/>
      </c>
      <c r="F34" s="15" t="str">
        <f aca="false">IF($B34="","",MAX(2*$E34-$D34,1))</f>
        <v/>
      </c>
    </row>
    <row r="35" customFormat="false" ht="15" hidden="false" customHeight="false" outlineLevel="0" collapsed="false">
      <c r="A35" s="19" t="str">
        <f aca="false">IF($B35="","",31)</f>
        <v/>
      </c>
      <c r="B35" s="19" t="str">
        <f aca="false">IFERROR(INDEX(Inventario!$A$12:$A$211,MATCH(31,Inventario!$L$12:$L$211,0)),"")</f>
        <v/>
      </c>
      <c r="C35" s="19" t="str">
        <f aca="false">IFERROR(INDEX(Inventario!$B$12:$B$211,MATCH(31,Inventario!$L$12:$L$211,0)),"")</f>
        <v/>
      </c>
      <c r="D35" s="15" t="str">
        <f aca="false">IFERROR(INDEX(Inventario!$G$12:$G$211,MATCH(31,Inventario!$L$12:$L$211,0)),"")</f>
        <v/>
      </c>
      <c r="E35" s="15" t="str">
        <f aca="false">IFERROR(INDEX(Inventario!$H$12:$H$211,MATCH(31,Inventario!$L$12:$L$211,0)),"")</f>
        <v/>
      </c>
      <c r="F35" s="15" t="str">
        <f aca="false">IF($B35="","",MAX(2*$E35-$D35,1))</f>
        <v/>
      </c>
    </row>
    <row r="36" customFormat="false" ht="15" hidden="false" customHeight="false" outlineLevel="0" collapsed="false">
      <c r="A36" s="19" t="str">
        <f aca="false">IF($B36="","",32)</f>
        <v/>
      </c>
      <c r="B36" s="19" t="str">
        <f aca="false">IFERROR(INDEX(Inventario!$A$12:$A$211,MATCH(32,Inventario!$L$12:$L$211,0)),"")</f>
        <v/>
      </c>
      <c r="C36" s="19" t="str">
        <f aca="false">IFERROR(INDEX(Inventario!$B$12:$B$211,MATCH(32,Inventario!$L$12:$L$211,0)),"")</f>
        <v/>
      </c>
      <c r="D36" s="15" t="str">
        <f aca="false">IFERROR(INDEX(Inventario!$G$12:$G$211,MATCH(32,Inventario!$L$12:$L$211,0)),"")</f>
        <v/>
      </c>
      <c r="E36" s="15" t="str">
        <f aca="false">IFERROR(INDEX(Inventario!$H$12:$H$211,MATCH(32,Inventario!$L$12:$L$211,0)),"")</f>
        <v/>
      </c>
      <c r="F36" s="15" t="str">
        <f aca="false">IF($B36="","",MAX(2*$E36-$D36,1))</f>
        <v/>
      </c>
    </row>
    <row r="37" customFormat="false" ht="15" hidden="false" customHeight="false" outlineLevel="0" collapsed="false">
      <c r="A37" s="19" t="str">
        <f aca="false">IF($B37="","",33)</f>
        <v/>
      </c>
      <c r="B37" s="19" t="str">
        <f aca="false">IFERROR(INDEX(Inventario!$A$12:$A$211,MATCH(33,Inventario!$L$12:$L$211,0)),"")</f>
        <v/>
      </c>
      <c r="C37" s="19" t="str">
        <f aca="false">IFERROR(INDEX(Inventario!$B$12:$B$211,MATCH(33,Inventario!$L$12:$L$211,0)),"")</f>
        <v/>
      </c>
      <c r="D37" s="15" t="str">
        <f aca="false">IFERROR(INDEX(Inventario!$G$12:$G$211,MATCH(33,Inventario!$L$12:$L$211,0)),"")</f>
        <v/>
      </c>
      <c r="E37" s="15" t="str">
        <f aca="false">IFERROR(INDEX(Inventario!$H$12:$H$211,MATCH(33,Inventario!$L$12:$L$211,0)),"")</f>
        <v/>
      </c>
      <c r="F37" s="15" t="str">
        <f aca="false">IF($B37="","",MAX(2*$E37-$D37,1))</f>
        <v/>
      </c>
    </row>
    <row r="38" customFormat="false" ht="15" hidden="false" customHeight="false" outlineLevel="0" collapsed="false">
      <c r="A38" s="19" t="str">
        <f aca="false">IF($B38="","",34)</f>
        <v/>
      </c>
      <c r="B38" s="19" t="str">
        <f aca="false">IFERROR(INDEX(Inventario!$A$12:$A$211,MATCH(34,Inventario!$L$12:$L$211,0)),"")</f>
        <v/>
      </c>
      <c r="C38" s="19" t="str">
        <f aca="false">IFERROR(INDEX(Inventario!$B$12:$B$211,MATCH(34,Inventario!$L$12:$L$211,0)),"")</f>
        <v/>
      </c>
      <c r="D38" s="15" t="str">
        <f aca="false">IFERROR(INDEX(Inventario!$G$12:$G$211,MATCH(34,Inventario!$L$12:$L$211,0)),"")</f>
        <v/>
      </c>
      <c r="E38" s="15" t="str">
        <f aca="false">IFERROR(INDEX(Inventario!$H$12:$H$211,MATCH(34,Inventario!$L$12:$L$211,0)),"")</f>
        <v/>
      </c>
      <c r="F38" s="15" t="str">
        <f aca="false">IF($B38="","",MAX(2*$E38-$D38,1))</f>
        <v/>
      </c>
    </row>
    <row r="39" customFormat="false" ht="15" hidden="false" customHeight="false" outlineLevel="0" collapsed="false">
      <c r="A39" s="19" t="str">
        <f aca="false">IF($B39="","",35)</f>
        <v/>
      </c>
      <c r="B39" s="19" t="str">
        <f aca="false">IFERROR(INDEX(Inventario!$A$12:$A$211,MATCH(35,Inventario!$L$12:$L$211,0)),"")</f>
        <v/>
      </c>
      <c r="C39" s="19" t="str">
        <f aca="false">IFERROR(INDEX(Inventario!$B$12:$B$211,MATCH(35,Inventario!$L$12:$L$211,0)),"")</f>
        <v/>
      </c>
      <c r="D39" s="15" t="str">
        <f aca="false">IFERROR(INDEX(Inventario!$G$12:$G$211,MATCH(35,Inventario!$L$12:$L$211,0)),"")</f>
        <v/>
      </c>
      <c r="E39" s="15" t="str">
        <f aca="false">IFERROR(INDEX(Inventario!$H$12:$H$211,MATCH(35,Inventario!$L$12:$L$211,0)),"")</f>
        <v/>
      </c>
      <c r="F39" s="15" t="str">
        <f aca="false">IF($B39="","",MAX(2*$E39-$D39,1))</f>
        <v/>
      </c>
    </row>
    <row r="40" customFormat="false" ht="15" hidden="false" customHeight="false" outlineLevel="0" collapsed="false">
      <c r="A40" s="19" t="str">
        <f aca="false">IF($B40="","",36)</f>
        <v/>
      </c>
      <c r="B40" s="19" t="str">
        <f aca="false">IFERROR(INDEX(Inventario!$A$12:$A$211,MATCH(36,Inventario!$L$12:$L$211,0)),"")</f>
        <v/>
      </c>
      <c r="C40" s="19" t="str">
        <f aca="false">IFERROR(INDEX(Inventario!$B$12:$B$211,MATCH(36,Inventario!$L$12:$L$211,0)),"")</f>
        <v/>
      </c>
      <c r="D40" s="15" t="str">
        <f aca="false">IFERROR(INDEX(Inventario!$G$12:$G$211,MATCH(36,Inventario!$L$12:$L$211,0)),"")</f>
        <v/>
      </c>
      <c r="E40" s="15" t="str">
        <f aca="false">IFERROR(INDEX(Inventario!$H$12:$H$211,MATCH(36,Inventario!$L$12:$L$211,0)),"")</f>
        <v/>
      </c>
      <c r="F40" s="15" t="str">
        <f aca="false">IF($B40="","",MAX(2*$E40-$D40,1))</f>
        <v/>
      </c>
    </row>
    <row r="41" customFormat="false" ht="15" hidden="false" customHeight="false" outlineLevel="0" collapsed="false">
      <c r="A41" s="19" t="str">
        <f aca="false">IF($B41="","",37)</f>
        <v/>
      </c>
      <c r="B41" s="19" t="str">
        <f aca="false">IFERROR(INDEX(Inventario!$A$12:$A$211,MATCH(37,Inventario!$L$12:$L$211,0)),"")</f>
        <v/>
      </c>
      <c r="C41" s="19" t="str">
        <f aca="false">IFERROR(INDEX(Inventario!$B$12:$B$211,MATCH(37,Inventario!$L$12:$L$211,0)),"")</f>
        <v/>
      </c>
      <c r="D41" s="15" t="str">
        <f aca="false">IFERROR(INDEX(Inventario!$G$12:$G$211,MATCH(37,Inventario!$L$12:$L$211,0)),"")</f>
        <v/>
      </c>
      <c r="E41" s="15" t="str">
        <f aca="false">IFERROR(INDEX(Inventario!$H$12:$H$211,MATCH(37,Inventario!$L$12:$L$211,0)),"")</f>
        <v/>
      </c>
      <c r="F41" s="15" t="str">
        <f aca="false">IF($B41="","",MAX(2*$E41-$D41,1))</f>
        <v/>
      </c>
    </row>
    <row r="42" customFormat="false" ht="15" hidden="false" customHeight="false" outlineLevel="0" collapsed="false">
      <c r="A42" s="19" t="str">
        <f aca="false">IF($B42="","",38)</f>
        <v/>
      </c>
      <c r="B42" s="19" t="str">
        <f aca="false">IFERROR(INDEX(Inventario!$A$12:$A$211,MATCH(38,Inventario!$L$12:$L$211,0)),"")</f>
        <v/>
      </c>
      <c r="C42" s="19" t="str">
        <f aca="false">IFERROR(INDEX(Inventario!$B$12:$B$211,MATCH(38,Inventario!$L$12:$L$211,0)),"")</f>
        <v/>
      </c>
      <c r="D42" s="15" t="str">
        <f aca="false">IFERROR(INDEX(Inventario!$G$12:$G$211,MATCH(38,Inventario!$L$12:$L$211,0)),"")</f>
        <v/>
      </c>
      <c r="E42" s="15" t="str">
        <f aca="false">IFERROR(INDEX(Inventario!$H$12:$H$211,MATCH(38,Inventario!$L$12:$L$211,0)),"")</f>
        <v/>
      </c>
      <c r="F42" s="15" t="str">
        <f aca="false">IF($B42="","",MAX(2*$E42-$D42,1))</f>
        <v/>
      </c>
    </row>
    <row r="43" customFormat="false" ht="15" hidden="false" customHeight="false" outlineLevel="0" collapsed="false">
      <c r="A43" s="19" t="str">
        <f aca="false">IF($B43="","",39)</f>
        <v/>
      </c>
      <c r="B43" s="19" t="str">
        <f aca="false">IFERROR(INDEX(Inventario!$A$12:$A$211,MATCH(39,Inventario!$L$12:$L$211,0)),"")</f>
        <v/>
      </c>
      <c r="C43" s="19" t="str">
        <f aca="false">IFERROR(INDEX(Inventario!$B$12:$B$211,MATCH(39,Inventario!$L$12:$L$211,0)),"")</f>
        <v/>
      </c>
      <c r="D43" s="15" t="str">
        <f aca="false">IFERROR(INDEX(Inventario!$G$12:$G$211,MATCH(39,Inventario!$L$12:$L$211,0)),"")</f>
        <v/>
      </c>
      <c r="E43" s="15" t="str">
        <f aca="false">IFERROR(INDEX(Inventario!$H$12:$H$211,MATCH(39,Inventario!$L$12:$L$211,0)),"")</f>
        <v/>
      </c>
      <c r="F43" s="15" t="str">
        <f aca="false">IF($B43="","",MAX(2*$E43-$D43,1))</f>
        <v/>
      </c>
    </row>
    <row r="44" customFormat="false" ht="15" hidden="false" customHeight="false" outlineLevel="0" collapsed="false">
      <c r="A44" s="19" t="str">
        <f aca="false">IF($B44="","",40)</f>
        <v/>
      </c>
      <c r="B44" s="19" t="str">
        <f aca="false">IFERROR(INDEX(Inventario!$A$12:$A$211,MATCH(40,Inventario!$L$12:$L$211,0)),"")</f>
        <v/>
      </c>
      <c r="C44" s="19" t="str">
        <f aca="false">IFERROR(INDEX(Inventario!$B$12:$B$211,MATCH(40,Inventario!$L$12:$L$211,0)),"")</f>
        <v/>
      </c>
      <c r="D44" s="15" t="str">
        <f aca="false">IFERROR(INDEX(Inventario!$G$12:$G$211,MATCH(40,Inventario!$L$12:$L$211,0)),"")</f>
        <v/>
      </c>
      <c r="E44" s="15" t="str">
        <f aca="false">IFERROR(INDEX(Inventario!$H$12:$H$211,MATCH(40,Inventario!$L$12:$L$211,0)),"")</f>
        <v/>
      </c>
      <c r="F44" s="15" t="str">
        <f aca="false">IF($B44="","",MAX(2*$E44-$D44,1))</f>
        <v/>
      </c>
    </row>
    <row r="45" customFormat="false" ht="15" hidden="false" customHeight="false" outlineLevel="0" collapsed="false">
      <c r="A45" s="19" t="str">
        <f aca="false">IF($B45="","",41)</f>
        <v/>
      </c>
      <c r="B45" s="19" t="str">
        <f aca="false">IFERROR(INDEX(Inventario!$A$12:$A$211,MATCH(41,Inventario!$L$12:$L$211,0)),"")</f>
        <v/>
      </c>
      <c r="C45" s="19" t="str">
        <f aca="false">IFERROR(INDEX(Inventario!$B$12:$B$211,MATCH(41,Inventario!$L$12:$L$211,0)),"")</f>
        <v/>
      </c>
      <c r="D45" s="15" t="str">
        <f aca="false">IFERROR(INDEX(Inventario!$G$12:$G$211,MATCH(41,Inventario!$L$12:$L$211,0)),"")</f>
        <v/>
      </c>
      <c r="E45" s="15" t="str">
        <f aca="false">IFERROR(INDEX(Inventario!$H$12:$H$211,MATCH(41,Inventario!$L$12:$L$211,0)),"")</f>
        <v/>
      </c>
      <c r="F45" s="15" t="str">
        <f aca="false">IF($B45="","",MAX(2*$E45-$D45,1))</f>
        <v/>
      </c>
    </row>
    <row r="46" customFormat="false" ht="15" hidden="false" customHeight="false" outlineLevel="0" collapsed="false">
      <c r="A46" s="19" t="str">
        <f aca="false">IF($B46="","",42)</f>
        <v/>
      </c>
      <c r="B46" s="19" t="str">
        <f aca="false">IFERROR(INDEX(Inventario!$A$12:$A$211,MATCH(42,Inventario!$L$12:$L$211,0)),"")</f>
        <v/>
      </c>
      <c r="C46" s="19" t="str">
        <f aca="false">IFERROR(INDEX(Inventario!$B$12:$B$211,MATCH(42,Inventario!$L$12:$L$211,0)),"")</f>
        <v/>
      </c>
      <c r="D46" s="15" t="str">
        <f aca="false">IFERROR(INDEX(Inventario!$G$12:$G$211,MATCH(42,Inventario!$L$12:$L$211,0)),"")</f>
        <v/>
      </c>
      <c r="E46" s="15" t="str">
        <f aca="false">IFERROR(INDEX(Inventario!$H$12:$H$211,MATCH(42,Inventario!$L$12:$L$211,0)),"")</f>
        <v/>
      </c>
      <c r="F46" s="15" t="str">
        <f aca="false">IF($B46="","",MAX(2*$E46-$D46,1))</f>
        <v/>
      </c>
    </row>
    <row r="47" customFormat="false" ht="15" hidden="false" customHeight="false" outlineLevel="0" collapsed="false">
      <c r="A47" s="19" t="str">
        <f aca="false">IF($B47="","",43)</f>
        <v/>
      </c>
      <c r="B47" s="19" t="str">
        <f aca="false">IFERROR(INDEX(Inventario!$A$12:$A$211,MATCH(43,Inventario!$L$12:$L$211,0)),"")</f>
        <v/>
      </c>
      <c r="C47" s="19" t="str">
        <f aca="false">IFERROR(INDEX(Inventario!$B$12:$B$211,MATCH(43,Inventario!$L$12:$L$211,0)),"")</f>
        <v/>
      </c>
      <c r="D47" s="15" t="str">
        <f aca="false">IFERROR(INDEX(Inventario!$G$12:$G$211,MATCH(43,Inventario!$L$12:$L$211,0)),"")</f>
        <v/>
      </c>
      <c r="E47" s="15" t="str">
        <f aca="false">IFERROR(INDEX(Inventario!$H$12:$H$211,MATCH(43,Inventario!$L$12:$L$211,0)),"")</f>
        <v/>
      </c>
      <c r="F47" s="15" t="str">
        <f aca="false">IF($B47="","",MAX(2*$E47-$D47,1))</f>
        <v/>
      </c>
    </row>
    <row r="48" customFormat="false" ht="15" hidden="false" customHeight="false" outlineLevel="0" collapsed="false">
      <c r="A48" s="19" t="str">
        <f aca="false">IF($B48="","",44)</f>
        <v/>
      </c>
      <c r="B48" s="19" t="str">
        <f aca="false">IFERROR(INDEX(Inventario!$A$12:$A$211,MATCH(44,Inventario!$L$12:$L$211,0)),"")</f>
        <v/>
      </c>
      <c r="C48" s="19" t="str">
        <f aca="false">IFERROR(INDEX(Inventario!$B$12:$B$211,MATCH(44,Inventario!$L$12:$L$211,0)),"")</f>
        <v/>
      </c>
      <c r="D48" s="15" t="str">
        <f aca="false">IFERROR(INDEX(Inventario!$G$12:$G$211,MATCH(44,Inventario!$L$12:$L$211,0)),"")</f>
        <v/>
      </c>
      <c r="E48" s="15" t="str">
        <f aca="false">IFERROR(INDEX(Inventario!$H$12:$H$211,MATCH(44,Inventario!$L$12:$L$211,0)),"")</f>
        <v/>
      </c>
      <c r="F48" s="15" t="str">
        <f aca="false">IF($B48="","",MAX(2*$E48-$D48,1))</f>
        <v/>
      </c>
    </row>
    <row r="49" customFormat="false" ht="15" hidden="false" customHeight="false" outlineLevel="0" collapsed="false">
      <c r="A49" s="19" t="str">
        <f aca="false">IF($B49="","",45)</f>
        <v/>
      </c>
      <c r="B49" s="19" t="str">
        <f aca="false">IFERROR(INDEX(Inventario!$A$12:$A$211,MATCH(45,Inventario!$L$12:$L$211,0)),"")</f>
        <v/>
      </c>
      <c r="C49" s="19" t="str">
        <f aca="false">IFERROR(INDEX(Inventario!$B$12:$B$211,MATCH(45,Inventario!$L$12:$L$211,0)),"")</f>
        <v/>
      </c>
      <c r="D49" s="15" t="str">
        <f aca="false">IFERROR(INDEX(Inventario!$G$12:$G$211,MATCH(45,Inventario!$L$12:$L$211,0)),"")</f>
        <v/>
      </c>
      <c r="E49" s="15" t="str">
        <f aca="false">IFERROR(INDEX(Inventario!$H$12:$H$211,MATCH(45,Inventario!$L$12:$L$211,0)),"")</f>
        <v/>
      </c>
      <c r="F49" s="15" t="str">
        <f aca="false">IF($B49="","",MAX(2*$E49-$D49,1))</f>
        <v/>
      </c>
    </row>
    <row r="50" customFormat="false" ht="15" hidden="false" customHeight="false" outlineLevel="0" collapsed="false">
      <c r="A50" s="19" t="str">
        <f aca="false">IF($B50="","",46)</f>
        <v/>
      </c>
      <c r="B50" s="19" t="str">
        <f aca="false">IFERROR(INDEX(Inventario!$A$12:$A$211,MATCH(46,Inventario!$L$12:$L$211,0)),"")</f>
        <v/>
      </c>
      <c r="C50" s="19" t="str">
        <f aca="false">IFERROR(INDEX(Inventario!$B$12:$B$211,MATCH(46,Inventario!$L$12:$L$211,0)),"")</f>
        <v/>
      </c>
      <c r="D50" s="15" t="str">
        <f aca="false">IFERROR(INDEX(Inventario!$G$12:$G$211,MATCH(46,Inventario!$L$12:$L$211,0)),"")</f>
        <v/>
      </c>
      <c r="E50" s="15" t="str">
        <f aca="false">IFERROR(INDEX(Inventario!$H$12:$H$211,MATCH(46,Inventario!$L$12:$L$211,0)),"")</f>
        <v/>
      </c>
      <c r="F50" s="15" t="str">
        <f aca="false">IF($B50="","",MAX(2*$E50-$D50,1))</f>
        <v/>
      </c>
    </row>
    <row r="51" customFormat="false" ht="15" hidden="false" customHeight="false" outlineLevel="0" collapsed="false">
      <c r="A51" s="19" t="str">
        <f aca="false">IF($B51="","",47)</f>
        <v/>
      </c>
      <c r="B51" s="19" t="str">
        <f aca="false">IFERROR(INDEX(Inventario!$A$12:$A$211,MATCH(47,Inventario!$L$12:$L$211,0)),"")</f>
        <v/>
      </c>
      <c r="C51" s="19" t="str">
        <f aca="false">IFERROR(INDEX(Inventario!$B$12:$B$211,MATCH(47,Inventario!$L$12:$L$211,0)),"")</f>
        <v/>
      </c>
      <c r="D51" s="15" t="str">
        <f aca="false">IFERROR(INDEX(Inventario!$G$12:$G$211,MATCH(47,Inventario!$L$12:$L$211,0)),"")</f>
        <v/>
      </c>
      <c r="E51" s="15" t="str">
        <f aca="false">IFERROR(INDEX(Inventario!$H$12:$H$211,MATCH(47,Inventario!$L$12:$L$211,0)),"")</f>
        <v/>
      </c>
      <c r="F51" s="15" t="str">
        <f aca="false">IF($B51="","",MAX(2*$E51-$D51,1))</f>
        <v/>
      </c>
    </row>
    <row r="52" customFormat="false" ht="15" hidden="false" customHeight="false" outlineLevel="0" collapsed="false">
      <c r="A52" s="19" t="str">
        <f aca="false">IF($B52="","",48)</f>
        <v/>
      </c>
      <c r="B52" s="19" t="str">
        <f aca="false">IFERROR(INDEX(Inventario!$A$12:$A$211,MATCH(48,Inventario!$L$12:$L$211,0)),"")</f>
        <v/>
      </c>
      <c r="C52" s="19" t="str">
        <f aca="false">IFERROR(INDEX(Inventario!$B$12:$B$211,MATCH(48,Inventario!$L$12:$L$211,0)),"")</f>
        <v/>
      </c>
      <c r="D52" s="15" t="str">
        <f aca="false">IFERROR(INDEX(Inventario!$G$12:$G$211,MATCH(48,Inventario!$L$12:$L$211,0)),"")</f>
        <v/>
      </c>
      <c r="E52" s="15" t="str">
        <f aca="false">IFERROR(INDEX(Inventario!$H$12:$H$211,MATCH(48,Inventario!$L$12:$L$211,0)),"")</f>
        <v/>
      </c>
      <c r="F52" s="15" t="str">
        <f aca="false">IF($B52="","",MAX(2*$E52-$D52,1))</f>
        <v/>
      </c>
    </row>
    <row r="53" customFormat="false" ht="15" hidden="false" customHeight="false" outlineLevel="0" collapsed="false">
      <c r="A53" s="19" t="str">
        <f aca="false">IF($B53="","",49)</f>
        <v/>
      </c>
      <c r="B53" s="19" t="str">
        <f aca="false">IFERROR(INDEX(Inventario!$A$12:$A$211,MATCH(49,Inventario!$L$12:$L$211,0)),"")</f>
        <v/>
      </c>
      <c r="C53" s="19" t="str">
        <f aca="false">IFERROR(INDEX(Inventario!$B$12:$B$211,MATCH(49,Inventario!$L$12:$L$211,0)),"")</f>
        <v/>
      </c>
      <c r="D53" s="15" t="str">
        <f aca="false">IFERROR(INDEX(Inventario!$G$12:$G$211,MATCH(49,Inventario!$L$12:$L$211,0)),"")</f>
        <v/>
      </c>
      <c r="E53" s="15" t="str">
        <f aca="false">IFERROR(INDEX(Inventario!$H$12:$H$211,MATCH(49,Inventario!$L$12:$L$211,0)),"")</f>
        <v/>
      </c>
      <c r="F53" s="15" t="str">
        <f aca="false">IF($B53="","",MAX(2*$E53-$D53,1))</f>
        <v/>
      </c>
    </row>
    <row r="54" customFormat="false" ht="15" hidden="false" customHeight="false" outlineLevel="0" collapsed="false">
      <c r="A54" s="19" t="str">
        <f aca="false">IF($B54="","",50)</f>
        <v/>
      </c>
      <c r="B54" s="19" t="str">
        <f aca="false">IFERROR(INDEX(Inventario!$A$12:$A$211,MATCH(50,Inventario!$L$12:$L$211,0)),"")</f>
        <v/>
      </c>
      <c r="C54" s="19" t="str">
        <f aca="false">IFERROR(INDEX(Inventario!$B$12:$B$211,MATCH(50,Inventario!$L$12:$L$211,0)),"")</f>
        <v/>
      </c>
      <c r="D54" s="15" t="str">
        <f aca="false">IFERROR(INDEX(Inventario!$G$12:$G$211,MATCH(50,Inventario!$L$12:$L$211,0)),"")</f>
        <v/>
      </c>
      <c r="E54" s="15" t="str">
        <f aca="false">IFERROR(INDEX(Inventario!$H$12:$H$211,MATCH(50,Inventario!$L$12:$L$211,0)),"")</f>
        <v/>
      </c>
      <c r="F54" s="15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21" t="s">
        <v>63</v>
      </c>
    </row>
    <row r="2" customFormat="false" ht="15" hidden="false" customHeight="false" outlineLevel="0" collapsed="false">
      <c r="A2" s="22" t="s">
        <v>64</v>
      </c>
      <c r="B2" s="23" t="s">
        <v>65</v>
      </c>
      <c r="C2" s="23" t="s">
        <v>3</v>
      </c>
      <c r="D2" s="23" t="s">
        <v>66</v>
      </c>
      <c r="E2" s="23" t="s">
        <v>67</v>
      </c>
      <c r="F2" s="23" t="s">
        <v>68</v>
      </c>
      <c r="G2" s="23" t="s">
        <v>69</v>
      </c>
    </row>
    <row r="3" customFormat="false" ht="15" hidden="false" customHeight="false" outlineLevel="0" collapsed="false">
      <c r="A3" s="22" t="s">
        <v>9</v>
      </c>
      <c r="B3" s="13" t="s">
        <v>70</v>
      </c>
      <c r="C3" s="13" t="s">
        <v>71</v>
      </c>
      <c r="D3" s="13" t="s">
        <v>72</v>
      </c>
      <c r="E3" s="13" t="s">
        <v>73</v>
      </c>
      <c r="F3" s="13" t="s">
        <v>74</v>
      </c>
      <c r="G3" s="13" t="s">
        <v>75</v>
      </c>
    </row>
    <row r="4" customFormat="false" ht="15" hidden="false" customHeight="false" outlineLevel="0" collapsed="false">
      <c r="A4" s="22" t="s">
        <v>76</v>
      </c>
      <c r="B4" s="13" t="s">
        <v>77</v>
      </c>
      <c r="C4" s="13" t="s">
        <v>78</v>
      </c>
      <c r="D4" s="13" t="s">
        <v>77</v>
      </c>
      <c r="E4" s="13" t="s">
        <v>79</v>
      </c>
      <c r="F4" s="13" t="s">
        <v>77</v>
      </c>
      <c r="G4" s="13" t="s">
        <v>80</v>
      </c>
    </row>
    <row r="6" customFormat="false" ht="15" hidden="false" customHeight="false" outlineLevel="0" collapsed="false">
      <c r="A6" s="22" t="s">
        <v>81</v>
      </c>
      <c r="B6" s="13" t="s">
        <v>47</v>
      </c>
      <c r="C6" s="13" t="s">
        <v>51</v>
      </c>
      <c r="D6" s="13" t="s">
        <v>82</v>
      </c>
      <c r="E6" s="13" t="s">
        <v>83</v>
      </c>
      <c r="F6" s="13" t="s">
        <v>84</v>
      </c>
      <c r="G6" s="13" t="s">
        <v>57</v>
      </c>
      <c r="H6" s="13" t="s">
        <v>55</v>
      </c>
      <c r="I6" s="13" t="s">
        <v>53</v>
      </c>
      <c r="J6" s="13" t="s">
        <v>85</v>
      </c>
      <c r="K6" s="13" t="s">
        <v>86</v>
      </c>
    </row>
    <row r="7" customFormat="false" ht="15" hidden="false" customHeight="false" outlineLevel="0" collapsed="false">
      <c r="A7" s="22" t="s">
        <v>87</v>
      </c>
      <c r="B7" s="13" t="n">
        <v>1</v>
      </c>
      <c r="C7" s="13" t="n">
        <v>-1</v>
      </c>
      <c r="D7" s="13" t="n">
        <v>1</v>
      </c>
      <c r="E7" s="13" t="n">
        <v>1</v>
      </c>
      <c r="F7" s="13" t="n">
        <v>-1</v>
      </c>
      <c r="G7" s="13" t="n">
        <v>-1</v>
      </c>
      <c r="H7" s="13" t="n">
        <v>-1</v>
      </c>
      <c r="I7" s="13" t="n">
        <v>-1</v>
      </c>
      <c r="J7" s="13" t="n">
        <v>1</v>
      </c>
      <c r="K7" s="13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4" t="s">
        <v>88</v>
      </c>
    </row>
    <row r="3" customFormat="false" ht="15" hidden="false" customHeight="false" outlineLevel="0" collapsed="false">
      <c r="B3" s="25"/>
    </row>
    <row r="4" customFormat="false" ht="15" hidden="false" customHeight="false" outlineLevel="0" collapsed="false">
      <c r="B4" s="25" t="s">
        <v>89</v>
      </c>
    </row>
    <row r="5" customFormat="false" ht="15" hidden="false" customHeight="false" outlineLevel="0" collapsed="false">
      <c r="B5" s="25"/>
    </row>
    <row r="6" customFormat="false" ht="15" hidden="false" customHeight="false" outlineLevel="0" collapsed="false">
      <c r="B6" s="25" t="s">
        <v>90</v>
      </c>
    </row>
    <row r="7" customFormat="false" ht="15" hidden="false" customHeight="false" outlineLevel="0" collapsed="false">
      <c r="B7" s="25" t="s">
        <v>91</v>
      </c>
    </row>
    <row r="8" customFormat="false" ht="15" hidden="false" customHeight="false" outlineLevel="0" collapsed="false">
      <c r="B8" s="25" t="s">
        <v>92</v>
      </c>
    </row>
    <row r="9" customFormat="false" ht="15" hidden="false" customHeight="false" outlineLevel="0" collapsed="false">
      <c r="B9" s="25" t="s">
        <v>93</v>
      </c>
    </row>
    <row r="10" customFormat="false" ht="15" hidden="false" customHeight="false" outlineLevel="0" collapsed="false">
      <c r="B10" s="25" t="s">
        <v>94</v>
      </c>
    </row>
    <row r="11" customFormat="false" ht="15" hidden="false" customHeight="false" outlineLevel="0" collapsed="false">
      <c r="B11" s="25" t="s">
        <v>95</v>
      </c>
    </row>
    <row r="12" customFormat="false" ht="15" hidden="false" customHeight="false" outlineLevel="0" collapsed="false">
      <c r="B12" s="25" t="s">
        <v>96</v>
      </c>
    </row>
    <row r="13" customFormat="false" ht="15" hidden="false" customHeight="false" outlineLevel="0" collapsed="false">
      <c r="B13" s="25" t="s">
        <v>97</v>
      </c>
    </row>
    <row r="14" customFormat="false" ht="15" hidden="false" customHeight="false" outlineLevel="0" collapsed="false">
      <c r="B14" s="25" t="s">
        <v>98</v>
      </c>
    </row>
    <row r="15" customFormat="false" ht="15" hidden="false" customHeight="false" outlineLevel="0" collapsed="false">
      <c r="B15" s="25" t="s">
        <v>99</v>
      </c>
    </row>
    <row r="16" customFormat="false" ht="15" hidden="false" customHeight="false" outlineLevel="0" collapsed="false">
      <c r="B16" s="25"/>
    </row>
    <row r="17" customFormat="false" ht="15" hidden="false" customHeight="false" outlineLevel="0" collapsed="false">
      <c r="B17" s="25" t="s">
        <v>100</v>
      </c>
    </row>
    <row r="18" customFormat="false" ht="15" hidden="false" customHeight="false" outlineLevel="0" collapsed="false">
      <c r="B18" s="25" t="s">
        <v>101</v>
      </c>
    </row>
    <row r="19" customFormat="false" ht="15" hidden="false" customHeight="false" outlineLevel="0" collapsed="false">
      <c r="B19" s="25"/>
    </row>
    <row r="20" customFormat="false" ht="15" hidden="false" customHeight="false" outlineLevel="0" collapsed="false">
      <c r="B20" s="25" t="s">
        <v>102</v>
      </c>
    </row>
    <row r="21" customFormat="false" ht="15" hidden="false" customHeight="false" outlineLevel="0" collapsed="false">
      <c r="B21" s="25" t="s">
        <v>103</v>
      </c>
    </row>
    <row r="22" customFormat="false" ht="15" hidden="false" customHeight="false" outlineLevel="0" collapsed="false">
      <c r="B22" s="25"/>
    </row>
    <row r="23" customFormat="false" ht="15" hidden="false" customHeight="false" outlineLevel="0" collapsed="false">
      <c r="B23" s="25" t="s">
        <v>104</v>
      </c>
    </row>
    <row r="24" customFormat="false" ht="15" hidden="false" customHeight="false" outlineLevel="0" collapsed="false">
      <c r="B24" s="25" t="s">
        <v>105</v>
      </c>
    </row>
    <row r="25" customFormat="false" ht="15" hidden="false" customHeight="false" outlineLevel="0" collapsed="false">
      <c r="B25" s="25"/>
    </row>
    <row r="26" customFormat="false" ht="15" hidden="false" customHeight="false" outlineLevel="0" collapsed="false">
      <c r="B26" s="25" t="s">
        <v>106</v>
      </c>
    </row>
    <row r="27" customFormat="false" ht="15" hidden="false" customHeight="false" outlineLevel="0" collapsed="false">
      <c r="B27" s="25" t="s">
        <v>107</v>
      </c>
    </row>
    <row r="28" customFormat="false" ht="15" hidden="false" customHeight="false" outlineLevel="0" collapsed="false">
      <c r="B28" s="25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soles (PEN): registras los movimientos y el stock, la alerta de reposición, la valorización y la lista de compras se calculan solos. Guía completa en scrampi.com/glosario/control-de-inventario/</dc:description>
  <cp:keywords>control de inventario plantilla excel Perú stock inventario</cp:keywords>
  <dc:language>en-US</dc:language>
  <cp:lastModifiedBy>Scrampi</cp:lastModifiedBy>
  <cp:revision>0</cp:revision>
  <dc:subject>Control de inventario por movimientos, con alerta de reposición y valorización en soles (PEN)</dc:subject>
  <dc:title>Plantilla de control de inventario en Excel — Perú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